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i-profile2101\inetredirect$\707\Downloads\均等割HP掲載様式\"/>
    </mc:Choice>
  </mc:AlternateContent>
  <bookViews>
    <workbookView xWindow="120" yWindow="15" windowWidth="11640" windowHeight="6450" tabRatio="739"/>
  </bookViews>
  <sheets>
    <sheet name="上下水道料金計算シート" sheetId="4" r:id="rId1"/>
    <sheet name="計算基礎" sheetId="7" r:id="rId2"/>
  </sheets>
  <definedNames>
    <definedName name="_xlnm.Print_Area" localSheetId="0">上下水道料金計算シート!$A$1:$H$17</definedName>
    <definedName name="使用水量">上下水道料金計算シート!$B$9</definedName>
    <definedName name="集合世帯数">上下水道料金計算シート!$B$8</definedName>
  </definedNames>
  <calcPr calcId="162913"/>
</workbook>
</file>

<file path=xl/calcChain.xml><?xml version="1.0" encoding="utf-8"?>
<calcChain xmlns="http://schemas.openxmlformats.org/spreadsheetml/2006/main">
  <c r="F16" i="4" l="1"/>
  <c r="C16" i="4"/>
  <c r="F15" i="4"/>
  <c r="C15" i="4"/>
  <c r="F13" i="4"/>
  <c r="F12" i="4"/>
  <c r="E12" i="4"/>
  <c r="E13" i="4"/>
  <c r="A8" i="4" l="1"/>
  <c r="B6" i="4"/>
  <c r="F7" i="4" l="1"/>
  <c r="I1" i="7"/>
  <c r="G8" i="4"/>
  <c r="S8" i="7"/>
  <c r="R4" i="7"/>
  <c r="U4" i="7" s="1"/>
  <c r="D5" i="7"/>
  <c r="G5" i="7" s="1"/>
  <c r="D4" i="7"/>
  <c r="G4" i="7" s="1"/>
  <c r="B12" i="4" s="1"/>
  <c r="E8" i="7"/>
  <c r="I8" i="7"/>
  <c r="K8" i="7" s="1"/>
  <c r="E9" i="7"/>
  <c r="I9" i="7"/>
  <c r="K9" i="7" s="1"/>
  <c r="I15" i="7"/>
  <c r="K15" i="7" s="1"/>
  <c r="B28" i="7"/>
  <c r="B29" i="7" s="1"/>
  <c r="B30" i="7" s="1"/>
  <c r="G6" i="4"/>
  <c r="S50" i="7"/>
  <c r="S49" i="7"/>
  <c r="S48" i="7"/>
  <c r="S47" i="7"/>
  <c r="S46" i="7"/>
  <c r="S45" i="7"/>
  <c r="S44" i="7"/>
  <c r="S40" i="7"/>
  <c r="S39" i="7"/>
  <c r="S38" i="7"/>
  <c r="S37" i="7"/>
  <c r="S36" i="7"/>
  <c r="S35" i="7"/>
  <c r="S34" i="7"/>
  <c r="E34" i="7"/>
  <c r="E35" i="7"/>
  <c r="E36" i="7"/>
  <c r="E37" i="7"/>
  <c r="E38" i="7"/>
  <c r="E39" i="7"/>
  <c r="E40" i="7"/>
  <c r="E44" i="7"/>
  <c r="E45" i="7"/>
  <c r="E46" i="7"/>
  <c r="E47" i="7"/>
  <c r="E48" i="7"/>
  <c r="E49" i="7"/>
  <c r="E50" i="7"/>
  <c r="E10" i="7"/>
  <c r="I10" i="7" s="1"/>
  <c r="K10" i="7" s="1"/>
  <c r="E11" i="7"/>
  <c r="I11" i="7" s="1"/>
  <c r="K11" i="7" s="1"/>
  <c r="E12" i="7"/>
  <c r="I12" i="7" s="1"/>
  <c r="K12" i="7" s="1"/>
  <c r="E13" i="7"/>
  <c r="I13" i="7" s="1"/>
  <c r="K13" i="7" s="1"/>
  <c r="E14" i="7"/>
  <c r="I14" i="7" s="1"/>
  <c r="K14" i="7" s="1"/>
  <c r="S9" i="7"/>
  <c r="S10" i="7"/>
  <c r="S11" i="7"/>
  <c r="S12" i="7"/>
  <c r="S13" i="7"/>
  <c r="S14" i="7"/>
  <c r="G5" i="4"/>
  <c r="B5" i="4" s="1"/>
  <c r="B7" i="4" l="1"/>
  <c r="W9" i="7"/>
  <c r="Y9" i="7" s="1"/>
  <c r="W15" i="7"/>
  <c r="Y15" i="7" s="1"/>
  <c r="C12" i="4"/>
  <c r="W13" i="7"/>
  <c r="Y13" i="7" s="1"/>
  <c r="W10" i="7"/>
  <c r="Y10" i="7" s="1"/>
  <c r="W8" i="7"/>
  <c r="Y8" i="7" s="1"/>
  <c r="D31" i="7"/>
  <c r="K31" i="7" s="1"/>
  <c r="I40" i="7"/>
  <c r="K40" i="7" s="1"/>
  <c r="I37" i="7"/>
  <c r="K37" i="7" s="1"/>
  <c r="B31" i="7"/>
  <c r="I44" i="7" s="1"/>
  <c r="K44" i="7" s="1"/>
  <c r="P29" i="7"/>
  <c r="W14" i="7"/>
  <c r="Y14" i="7" s="1"/>
  <c r="W11" i="7"/>
  <c r="Y11" i="7" s="1"/>
  <c r="W12" i="7"/>
  <c r="Y12" i="7" s="1"/>
  <c r="I36" i="7"/>
  <c r="K36" i="7" s="1"/>
  <c r="I41" i="7"/>
  <c r="K41" i="7" s="1"/>
  <c r="I38" i="7"/>
  <c r="K38" i="7" s="1"/>
  <c r="I35" i="7"/>
  <c r="K35" i="7" s="1"/>
  <c r="I39" i="7"/>
  <c r="K39" i="7" s="1"/>
  <c r="I34" i="7"/>
  <c r="K34" i="7" s="1"/>
  <c r="B14" i="4" l="1"/>
  <c r="E14" i="4"/>
  <c r="I51" i="7"/>
  <c r="K51" i="7" s="1"/>
  <c r="F31" i="7"/>
  <c r="I46" i="7"/>
  <c r="K46" i="7" s="1"/>
  <c r="I45" i="7"/>
  <c r="K45" i="7" s="1"/>
  <c r="I50" i="7"/>
  <c r="K50" i="7" s="1"/>
  <c r="D30" i="7"/>
  <c r="K30" i="7" s="1"/>
  <c r="I47" i="7"/>
  <c r="K47" i="7" s="1"/>
  <c r="P30" i="7"/>
  <c r="R31" i="7"/>
  <c r="I49" i="7"/>
  <c r="K49" i="7" s="1"/>
  <c r="I48" i="7"/>
  <c r="K48" i="7" s="1"/>
  <c r="I30" i="7"/>
  <c r="E15" i="4" l="1"/>
  <c r="E16" i="4" s="1"/>
  <c r="F17" i="4" s="1"/>
  <c r="B15" i="4"/>
  <c r="B16" i="4" s="1"/>
  <c r="F30" i="7"/>
  <c r="M30" i="7"/>
  <c r="I31" i="7"/>
  <c r="M31" i="7" s="1"/>
  <c r="W39" i="7"/>
  <c r="Y39" i="7" s="1"/>
  <c r="P31" i="7"/>
  <c r="W40" i="7"/>
  <c r="Y40" i="7" s="1"/>
  <c r="W38" i="7"/>
  <c r="Y38" i="7" s="1"/>
  <c r="W34" i="7"/>
  <c r="Y34" i="7" s="1"/>
  <c r="W35" i="7"/>
  <c r="Y35" i="7" s="1"/>
  <c r="W36" i="7"/>
  <c r="Y36" i="7" s="1"/>
  <c r="W37" i="7"/>
  <c r="Y37" i="7" s="1"/>
  <c r="W41" i="7"/>
  <c r="Y41" i="7" s="1"/>
  <c r="Y31" i="7"/>
  <c r="R30" i="7"/>
  <c r="Y30" i="7" s="1"/>
  <c r="B13" i="4" l="1"/>
  <c r="W46" i="7"/>
  <c r="Y46" i="7" s="1"/>
  <c r="W51" i="7"/>
  <c r="Y51" i="7" s="1"/>
  <c r="W50" i="7"/>
  <c r="Y50" i="7" s="1"/>
  <c r="W49" i="7"/>
  <c r="Y49" i="7" s="1"/>
  <c r="W47" i="7"/>
  <c r="Y47" i="7" s="1"/>
  <c r="T31" i="7"/>
  <c r="W45" i="7"/>
  <c r="Y45" i="7" s="1"/>
  <c r="W44" i="7"/>
  <c r="Y44" i="7" s="1"/>
  <c r="W48" i="7"/>
  <c r="Y48" i="7" s="1"/>
  <c r="W30" i="7"/>
  <c r="AA30" i="7" s="1"/>
  <c r="T30" i="7"/>
  <c r="W31" i="7" l="1"/>
  <c r="AA31" i="7" s="1"/>
  <c r="C13" i="4" s="1"/>
  <c r="B17" i="4" s="1"/>
  <c r="D17" i="4" s="1"/>
</calcChain>
</file>

<file path=xl/sharedStrings.xml><?xml version="1.0" encoding="utf-8"?>
<sst xmlns="http://schemas.openxmlformats.org/spreadsheetml/2006/main" count="222" uniqueCount="49">
  <si>
    <t>基本料金</t>
    <rPh sb="0" eb="2">
      <t>キホン</t>
    </rPh>
    <rPh sb="2" eb="4">
      <t>リョウキン</t>
    </rPh>
    <phoneticPr fontId="2"/>
  </si>
  <si>
    <t>メーター使用料</t>
    <rPh sb="4" eb="6">
      <t>シヨウ</t>
    </rPh>
    <rPh sb="6" eb="7">
      <t>リョウ</t>
    </rPh>
    <phoneticPr fontId="2"/>
  </si>
  <si>
    <t>水道料金</t>
    <rPh sb="0" eb="2">
      <t>スイドウ</t>
    </rPh>
    <rPh sb="2" eb="4">
      <t>リョウキン</t>
    </rPh>
    <phoneticPr fontId="2"/>
  </si>
  <si>
    <t>下水道使用料</t>
    <rPh sb="0" eb="3">
      <t>ゲスイドウ</t>
    </rPh>
    <rPh sb="3" eb="5">
      <t>シヨウ</t>
    </rPh>
    <rPh sb="5" eb="6">
      <t>リョウ</t>
    </rPh>
    <phoneticPr fontId="2"/>
  </si>
  <si>
    <t>超過料金</t>
    <rPh sb="0" eb="2">
      <t>チョウカ</t>
    </rPh>
    <rPh sb="2" eb="4">
      <t>リョウキン</t>
    </rPh>
    <phoneticPr fontId="2"/>
  </si>
  <si>
    <t>消費税</t>
    <rPh sb="0" eb="3">
      <t>ショウヒゼイ</t>
    </rPh>
    <phoneticPr fontId="2"/>
  </si>
  <si>
    <t>計</t>
    <rPh sb="0" eb="1">
      <t>ケイ</t>
    </rPh>
    <phoneticPr fontId="2"/>
  </si>
  <si>
    <t>基本料金（水道）</t>
    <rPh sb="0" eb="2">
      <t>キホン</t>
    </rPh>
    <rPh sb="2" eb="4">
      <t>リョウキン</t>
    </rPh>
    <rPh sb="5" eb="7">
      <t>スイドウ</t>
    </rPh>
    <phoneticPr fontId="2"/>
  </si>
  <si>
    <t>基本料金（下水道）</t>
    <rPh sb="0" eb="2">
      <t>キホン</t>
    </rPh>
    <rPh sb="2" eb="4">
      <t>リョウキン</t>
    </rPh>
    <rPh sb="5" eb="6">
      <t>シタ</t>
    </rPh>
    <rPh sb="6" eb="8">
      <t>スイドウ</t>
    </rPh>
    <phoneticPr fontId="2"/>
  </si>
  <si>
    <t>上下水道料金</t>
    <rPh sb="0" eb="2">
      <t>ウエシタ</t>
    </rPh>
    <rPh sb="2" eb="4">
      <t>スイドウ</t>
    </rPh>
    <rPh sb="4" eb="6">
      <t>リョウキン</t>
    </rPh>
    <phoneticPr fontId="2"/>
  </si>
  <si>
    <t>口径</t>
    <rPh sb="0" eb="2">
      <t>コウケイ</t>
    </rPh>
    <phoneticPr fontId="2"/>
  </si>
  <si>
    <t>使用料</t>
    <rPh sb="0" eb="3">
      <t>シヨウリョウ</t>
    </rPh>
    <phoneticPr fontId="2"/>
  </si>
  <si>
    <t>円</t>
    <rPh sb="0" eb="1">
      <t>エン</t>
    </rPh>
    <phoneticPr fontId="2"/>
  </si>
  <si>
    <t>用途</t>
    <rPh sb="0" eb="2">
      <t>ヨウト</t>
    </rPh>
    <phoneticPr fontId="2"/>
  </si>
  <si>
    <t>基本料金</t>
    <rPh sb="0" eb="2">
      <t>キホン</t>
    </rPh>
    <rPh sb="2" eb="4">
      <t>リョウキン</t>
    </rPh>
    <phoneticPr fontId="2"/>
  </si>
  <si>
    <t>家事用</t>
    <rPh sb="0" eb="3">
      <t>カジヨウ</t>
    </rPh>
    <phoneticPr fontId="2"/>
  </si>
  <si>
    <t>均等割</t>
    <rPh sb="0" eb="3">
      <t>キントウワ</t>
    </rPh>
    <phoneticPr fontId="2"/>
  </si>
  <si>
    <t>超過料金</t>
    <rPh sb="0" eb="2">
      <t>チョウカ</t>
    </rPh>
    <rPh sb="2" eb="4">
      <t>リョウキン</t>
    </rPh>
    <phoneticPr fontId="2"/>
  </si>
  <si>
    <t>事業用</t>
    <rPh sb="0" eb="3">
      <t>ジギョウヨウ</t>
    </rPh>
    <phoneticPr fontId="2"/>
  </si>
  <si>
    <t>水道料金</t>
    <rPh sb="0" eb="2">
      <t>スイドウ</t>
    </rPh>
    <rPh sb="2" eb="4">
      <t>リョウキン</t>
    </rPh>
    <phoneticPr fontId="2"/>
  </si>
  <si>
    <t>～</t>
    <phoneticPr fontId="2"/>
  </si>
  <si>
    <t>×</t>
    <phoneticPr fontId="2"/>
  </si>
  <si>
    <t>=</t>
    <phoneticPr fontId="2"/>
  </si>
  <si>
    <t>単価</t>
    <rPh sb="0" eb="2">
      <t>タンカ</t>
    </rPh>
    <phoneticPr fontId="2"/>
  </si>
  <si>
    <t>下水道使用料</t>
    <rPh sb="0" eb="3">
      <t>ゲスイドウ</t>
    </rPh>
    <rPh sb="3" eb="6">
      <t>シヨウリョウ</t>
    </rPh>
    <phoneticPr fontId="2"/>
  </si>
  <si>
    <t>従量使用料</t>
    <rPh sb="0" eb="2">
      <t>ジュウリョウ</t>
    </rPh>
    <rPh sb="2" eb="5">
      <t>シヨウリョウ</t>
    </rPh>
    <phoneticPr fontId="2"/>
  </si>
  <si>
    <t>基本使用料</t>
    <rPh sb="0" eb="2">
      <t>キホン</t>
    </rPh>
    <rPh sb="2" eb="5">
      <t>シヨウリョウ</t>
    </rPh>
    <phoneticPr fontId="2"/>
  </si>
  <si>
    <t>＝</t>
    <phoneticPr fontId="2"/>
  </si>
  <si>
    <t>超過水量</t>
    <rPh sb="0" eb="2">
      <t>チョウカ</t>
    </rPh>
    <rPh sb="2" eb="4">
      <t>スイリョウ</t>
    </rPh>
    <phoneticPr fontId="2"/>
  </si>
  <si>
    <t>１世帯あたり</t>
    <rPh sb="1" eb="3">
      <t>セタイ</t>
    </rPh>
    <phoneticPr fontId="2"/>
  </si>
  <si>
    <t>基本水量</t>
    <rPh sb="0" eb="2">
      <t>キホン</t>
    </rPh>
    <rPh sb="2" eb="4">
      <t>スイリョウ</t>
    </rPh>
    <phoneticPr fontId="2"/>
  </si>
  <si>
    <t>×</t>
    <phoneticPr fontId="2"/>
  </si>
  <si>
    <t>超過料金①</t>
    <rPh sb="0" eb="2">
      <t>チョウカ</t>
    </rPh>
    <rPh sb="2" eb="4">
      <t>リョウキン</t>
    </rPh>
    <phoneticPr fontId="2"/>
  </si>
  <si>
    <t>×</t>
    <phoneticPr fontId="2"/>
  </si>
  <si>
    <t>超過料金②</t>
    <rPh sb="0" eb="2">
      <t>チョウカ</t>
    </rPh>
    <rPh sb="2" eb="4">
      <t>リョウキン</t>
    </rPh>
    <phoneticPr fontId="2"/>
  </si>
  <si>
    <t>計算水量</t>
    <rPh sb="0" eb="2">
      <t>ケイサン</t>
    </rPh>
    <rPh sb="2" eb="4">
      <t>スイリョウ</t>
    </rPh>
    <phoneticPr fontId="2"/>
  </si>
  <si>
    <t>日割り</t>
    <rPh sb="0" eb="2">
      <t>ヒワ</t>
    </rPh>
    <phoneticPr fontId="2"/>
  </si>
  <si>
    <t>併用人数</t>
    <rPh sb="0" eb="2">
      <t>ヘイヨウ</t>
    </rPh>
    <rPh sb="2" eb="4">
      <t>ニンズウ</t>
    </rPh>
    <phoneticPr fontId="2"/>
  </si>
  <si>
    <t>㎥</t>
    <phoneticPr fontId="2"/>
  </si>
  <si>
    <t>家事用</t>
  </si>
  <si>
    <t>消費税率</t>
    <rPh sb="0" eb="3">
      <t>ショウヒゼイ</t>
    </rPh>
    <rPh sb="3" eb="4">
      <t>リツ</t>
    </rPh>
    <phoneticPr fontId="2"/>
  </si>
  <si>
    <t>消費税　10％</t>
    <rPh sb="0" eb="3">
      <t>ショウヒゼイ</t>
    </rPh>
    <phoneticPr fontId="2"/>
  </si>
  <si>
    <t>なし</t>
  </si>
  <si>
    <t>上下水道料金均等割計算試算表</t>
    <rPh sb="0" eb="2">
      <t>ウエシタ</t>
    </rPh>
    <rPh sb="2" eb="4">
      <t>スイドウ</t>
    </rPh>
    <rPh sb="4" eb="6">
      <t>リョウキン</t>
    </rPh>
    <rPh sb="6" eb="9">
      <t>キントウワリ</t>
    </rPh>
    <rPh sb="9" eb="11">
      <t>ケイサン</t>
    </rPh>
    <rPh sb="11" eb="14">
      <t>シサンヒョウ</t>
    </rPh>
    <phoneticPr fontId="2"/>
  </si>
  <si>
    <t>令和4年4月下水道使用料改定対応</t>
    <rPh sb="0" eb="1">
      <t>レイ</t>
    </rPh>
    <rPh sb="1" eb="2">
      <t>ワ</t>
    </rPh>
    <rPh sb="3" eb="4">
      <t>ネン</t>
    </rPh>
    <rPh sb="5" eb="6">
      <t>ガツ</t>
    </rPh>
    <rPh sb="6" eb="8">
      <t>ゲスイ</t>
    </rPh>
    <rPh sb="8" eb="9">
      <t>ドウ</t>
    </rPh>
    <rPh sb="9" eb="12">
      <t>シヨウリョウ</t>
    </rPh>
    <rPh sb="12" eb="14">
      <t>カイテイ</t>
    </rPh>
    <rPh sb="14" eb="16">
      <t>タイオウ</t>
    </rPh>
    <phoneticPr fontId="2"/>
  </si>
  <si>
    <t>1カ月使用水量</t>
    <rPh sb="2" eb="3">
      <t>ゲツ</t>
    </rPh>
    <rPh sb="3" eb="5">
      <t>シヨウ</t>
    </rPh>
    <rPh sb="5" eb="7">
      <t>スイリョウ</t>
    </rPh>
    <phoneticPr fontId="2"/>
  </si>
  <si>
    <t>【使用方法】</t>
    <rPh sb="1" eb="3">
      <t>シヨウ</t>
    </rPh>
    <rPh sb="3" eb="5">
      <t>ホウホウ</t>
    </rPh>
    <phoneticPr fontId="2"/>
  </si>
  <si>
    <t>建物全体の「世帯数」、「1カ月使用水量」をご記入の上、受水槽前のメーターの「口径」をご選択ください。</t>
    <rPh sb="0" eb="2">
      <t>タテモノ</t>
    </rPh>
    <rPh sb="2" eb="4">
      <t>ゼンタイ</t>
    </rPh>
    <rPh sb="6" eb="9">
      <t>セタイスウ</t>
    </rPh>
    <rPh sb="14" eb="15">
      <t>ゲツ</t>
    </rPh>
    <rPh sb="15" eb="17">
      <t>シヨウ</t>
    </rPh>
    <rPh sb="17" eb="19">
      <t>スイリョウ</t>
    </rPh>
    <rPh sb="22" eb="24">
      <t>キニュウ</t>
    </rPh>
    <rPh sb="25" eb="26">
      <t>ウエ</t>
    </rPh>
    <rPh sb="27" eb="30">
      <t>ジュスイソウ</t>
    </rPh>
    <rPh sb="30" eb="31">
      <t>マエ</t>
    </rPh>
    <rPh sb="38" eb="40">
      <t>コウケイ</t>
    </rPh>
    <rPh sb="43" eb="45">
      <t>センタク</t>
    </rPh>
    <phoneticPr fontId="2"/>
  </si>
  <si>
    <t>均等割しない
場合の料金</t>
    <rPh sb="0" eb="3">
      <t>キントウワリ</t>
    </rPh>
    <rPh sb="7" eb="9">
      <t>バアイ</t>
    </rPh>
    <rPh sb="10" eb="12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</si>
</sst>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38" fontId="3" fillId="2" borderId="5" xfId="0" applyNumberFormat="1" applyFont="1" applyFill="1" applyBorder="1"/>
    <xf numFmtId="0" fontId="3" fillId="2" borderId="5" xfId="0" applyFont="1" applyFill="1" applyBorder="1"/>
    <xf numFmtId="38" fontId="3" fillId="3" borderId="6" xfId="0" applyNumberFormat="1" applyFont="1" applyFill="1" applyBorder="1"/>
    <xf numFmtId="38" fontId="3" fillId="2" borderId="7" xfId="0" applyNumberFormat="1" applyFont="1" applyFill="1" applyBorder="1"/>
    <xf numFmtId="38" fontId="3" fillId="3" borderId="8" xfId="0" applyNumberFormat="1" applyFont="1" applyFill="1" applyBorder="1"/>
    <xf numFmtId="38" fontId="3" fillId="2" borderId="9" xfId="0" applyNumberFormat="1" applyFont="1" applyFill="1" applyBorder="1"/>
    <xf numFmtId="0" fontId="0" fillId="3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38" fontId="3" fillId="3" borderId="12" xfId="1" applyFont="1" applyFill="1" applyBorder="1"/>
    <xf numFmtId="0" fontId="8" fillId="0" borderId="0" xfId="0" applyFont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6" fillId="4" borderId="2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38" fontId="7" fillId="5" borderId="19" xfId="1" applyFont="1" applyFill="1" applyBorder="1" applyProtection="1">
      <protection locked="0"/>
    </xf>
    <xf numFmtId="38" fontId="7" fillId="5" borderId="16" xfId="1" applyFont="1" applyFill="1" applyBorder="1" applyProtection="1">
      <protection locked="0"/>
    </xf>
    <xf numFmtId="0" fontId="5" fillId="0" borderId="15" xfId="0" applyFont="1" applyFill="1" applyBorder="1" applyAlignment="1" applyProtection="1">
      <alignment horizontal="center" vertical="center" shrinkToFit="1"/>
    </xf>
    <xf numFmtId="38" fontId="3" fillId="7" borderId="15" xfId="1" applyFont="1" applyFill="1" applyBorder="1" applyProtection="1"/>
    <xf numFmtId="38" fontId="3" fillId="7" borderId="17" xfId="1" applyFont="1" applyFill="1" applyBorder="1" applyProtection="1"/>
    <xf numFmtId="0" fontId="5" fillId="0" borderId="22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/>
    <xf numFmtId="38" fontId="10" fillId="0" borderId="0" xfId="0" applyNumberFormat="1" applyFont="1"/>
    <xf numFmtId="38" fontId="11" fillId="0" borderId="0" xfId="0" applyNumberFormat="1" applyFont="1"/>
    <xf numFmtId="38" fontId="4" fillId="9" borderId="25" xfId="0" applyNumberFormat="1" applyFont="1" applyFill="1" applyBorder="1"/>
    <xf numFmtId="0" fontId="9" fillId="0" borderId="0" xfId="0" applyFont="1" applyAlignment="1">
      <alignment horizontal="center" vertical="center"/>
    </xf>
    <xf numFmtId="38" fontId="5" fillId="6" borderId="13" xfId="0" applyNumberFormat="1" applyFont="1" applyFill="1" applyBorder="1" applyAlignment="1">
      <alignment horizontal="center"/>
    </xf>
    <xf numFmtId="38" fontId="5" fillId="6" borderId="1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Font="1" applyAlignment="1">
      <alignment horizontal="center" shrinkToFit="1"/>
    </xf>
    <xf numFmtId="0" fontId="12" fillId="0" borderId="0" xfId="0" applyFont="1" applyAlignment="1">
      <alignment wrapText="1"/>
    </xf>
  </cellXfs>
  <cellStyles count="2">
    <cellStyle name="桁区切り" xfId="1" builtinId="6"/>
    <cellStyle name="標準" xfId="0" builtinId="0"/>
  </cellStyles>
  <dxfs count="3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F6" sqref="F6"/>
    </sheetView>
  </sheetViews>
  <sheetFormatPr defaultRowHeight="19.7" customHeight="1" x14ac:dyDescent="0.15"/>
  <cols>
    <col min="1" max="1" width="15.875" style="1" customWidth="1"/>
    <col min="2" max="3" width="13.375" customWidth="1"/>
    <col min="4" max="4" width="6.25" customWidth="1"/>
    <col min="5" max="5" width="11.375" bestFit="1" customWidth="1"/>
    <col min="6" max="6" width="14.25" customWidth="1"/>
    <col min="7" max="7" width="6.25" customWidth="1"/>
    <col min="8" max="8" width="3.375" bestFit="1" customWidth="1"/>
  </cols>
  <sheetData>
    <row r="1" spans="1:8" s="2" customFormat="1" ht="19.7" customHeight="1" x14ac:dyDescent="0.2">
      <c r="A1" s="47" t="s">
        <v>43</v>
      </c>
      <c r="B1" s="48"/>
      <c r="C1" s="48"/>
      <c r="D1" s="48"/>
      <c r="E1" s="49" t="s">
        <v>44</v>
      </c>
      <c r="F1" s="50"/>
      <c r="G1" s="50"/>
      <c r="H1" s="50"/>
    </row>
    <row r="2" spans="1:8" ht="19.7" customHeight="1" x14ac:dyDescent="0.2">
      <c r="A2" s="39" t="s">
        <v>46</v>
      </c>
    </row>
    <row r="3" spans="1:8" ht="19.7" customHeight="1" x14ac:dyDescent="0.15">
      <c r="A3" s="51" t="s">
        <v>47</v>
      </c>
      <c r="B3" s="51"/>
      <c r="C3" s="51"/>
      <c r="D3" s="51"/>
      <c r="E3" s="51"/>
      <c r="F3" s="51"/>
      <c r="G3" s="51"/>
      <c r="H3" s="51"/>
    </row>
    <row r="4" spans="1:8" ht="9.75" customHeight="1" x14ac:dyDescent="0.15"/>
    <row r="5" spans="1:8" ht="19.7" customHeight="1" thickBot="1" x14ac:dyDescent="0.2">
      <c r="A5" s="16" t="s">
        <v>7</v>
      </c>
      <c r="B5" s="35">
        <f>$G$5</f>
        <v>850</v>
      </c>
      <c r="E5" s="27" t="s">
        <v>13</v>
      </c>
      <c r="F5" s="37" t="s">
        <v>39</v>
      </c>
      <c r="G5" s="22">
        <f>VLOOKUP(F5,計算基礎!$A$4:$B$5,2,FALSE)</f>
        <v>850</v>
      </c>
      <c r="H5" s="23" t="s">
        <v>12</v>
      </c>
    </row>
    <row r="6" spans="1:8" ht="19.7" customHeight="1" thickTop="1" thickBot="1" x14ac:dyDescent="0.2">
      <c r="A6" s="16" t="s">
        <v>8</v>
      </c>
      <c r="B6" s="35">
        <f>計算基礎!$P$4</f>
        <v>750</v>
      </c>
      <c r="E6" s="29" t="s">
        <v>10</v>
      </c>
      <c r="F6" s="19">
        <v>20</v>
      </c>
      <c r="G6" s="26">
        <f>VLOOKUP(F6,計算基礎!$A$18:$B$25,2,FALSE)</f>
        <v>90</v>
      </c>
      <c r="H6" s="23" t="s">
        <v>12</v>
      </c>
    </row>
    <row r="7" spans="1:8" ht="19.7" customHeight="1" thickTop="1" thickBot="1" x14ac:dyDescent="0.2">
      <c r="A7" s="17" t="s">
        <v>1</v>
      </c>
      <c r="B7" s="36">
        <f>IF(集合世帯数=1,G6*B8,G6)</f>
        <v>90</v>
      </c>
      <c r="E7" s="28" t="s">
        <v>16</v>
      </c>
      <c r="F7" s="38" t="str">
        <f>IF(集合世帯数=1,"なし","あり")</f>
        <v>あり</v>
      </c>
      <c r="G7" s="24"/>
      <c r="H7" s="24"/>
    </row>
    <row r="8" spans="1:8" ht="19.7" customHeight="1" thickTop="1" thickBot="1" x14ac:dyDescent="0.25">
      <c r="A8" s="30" t="str">
        <f>IF(集合世帯数=1,"調定月数","世帯数")</f>
        <v>世帯数</v>
      </c>
      <c r="B8" s="32">
        <v>10</v>
      </c>
      <c r="C8" s="18"/>
      <c r="E8" s="20" t="s">
        <v>37</v>
      </c>
      <c r="F8" s="21"/>
      <c r="G8" s="25">
        <f>IF(F8=0,使用水量,使用水量+F8*3*集合世帯数)</f>
        <v>200</v>
      </c>
      <c r="H8" s="24" t="s">
        <v>38</v>
      </c>
    </row>
    <row r="9" spans="1:8" ht="19.7" customHeight="1" thickBot="1" x14ac:dyDescent="0.25">
      <c r="A9" s="31" t="s">
        <v>45</v>
      </c>
      <c r="B9" s="33">
        <v>200</v>
      </c>
      <c r="E9" s="20" t="s">
        <v>36</v>
      </c>
      <c r="F9" s="34" t="s">
        <v>42</v>
      </c>
    </row>
    <row r="10" spans="1:8" ht="19.7" customHeight="1" thickTop="1" thickBot="1" x14ac:dyDescent="0.2"/>
    <row r="11" spans="1:8" ht="19.7" customHeight="1" thickBot="1" x14ac:dyDescent="0.2">
      <c r="A11" s="3"/>
      <c r="B11" s="12" t="s">
        <v>2</v>
      </c>
      <c r="C11" s="13" t="s">
        <v>3</v>
      </c>
    </row>
    <row r="12" spans="1:8" ht="19.7" customHeight="1" x14ac:dyDescent="0.15">
      <c r="A12" s="3" t="s">
        <v>0</v>
      </c>
      <c r="B12" s="10">
        <f>IF(F5="家事用",計算基礎!G4,計算基礎!G5)/IF(F9="なし",1,IF(使用水量&gt;5,1,2))</f>
        <v>8500</v>
      </c>
      <c r="C12" s="11">
        <f>計算基礎!U4</f>
        <v>7500</v>
      </c>
      <c r="E12" s="40">
        <f>G5</f>
        <v>850</v>
      </c>
      <c r="F12" s="41">
        <f>B6</f>
        <v>750</v>
      </c>
    </row>
    <row r="13" spans="1:8" ht="19.7" customHeight="1" x14ac:dyDescent="0.15">
      <c r="A13" s="3" t="s">
        <v>4</v>
      </c>
      <c r="B13" s="14">
        <f>IF(集合世帯数=1,SUM(計算基礎!K8:K15),SUM(計算基礎!M30:M31))</f>
        <v>27000</v>
      </c>
      <c r="C13" s="6">
        <f>IF(集合世帯数=1,SUM(計算基礎!Y8:Y15),SUM(計算基礎!AA30:AA31))</f>
        <v>18000</v>
      </c>
      <c r="E13" s="40">
        <f>SUM(計算基礎!K8:K15)</f>
        <v>65100</v>
      </c>
      <c r="F13" s="40">
        <f>SUM(計算基礎!Y8:Y15)</f>
        <v>48000</v>
      </c>
    </row>
    <row r="14" spans="1:8" ht="19.7" customHeight="1" x14ac:dyDescent="0.2">
      <c r="A14" s="3" t="s">
        <v>1</v>
      </c>
      <c r="B14" s="14">
        <f>B7</f>
        <v>90</v>
      </c>
      <c r="C14" s="7"/>
      <c r="E14" s="42">
        <f>B7</f>
        <v>90</v>
      </c>
      <c r="F14" s="15" t="s">
        <v>41</v>
      </c>
    </row>
    <row r="15" spans="1:8" ht="19.7" customHeight="1" x14ac:dyDescent="0.15">
      <c r="A15" s="3" t="s">
        <v>5</v>
      </c>
      <c r="B15" s="14">
        <f>ROUNDDOWN(SUM(B12:B14)*計算基礎!$I$1,0)</f>
        <v>3559</v>
      </c>
      <c r="C15" s="6">
        <f>ROUNDDOWN(SUM(C12:C14)*計算基礎!$I$1,0)</f>
        <v>2550</v>
      </c>
      <c r="E15" s="40">
        <f>ROUNDDOWN(SUM(E12:E14)*計算基礎!$I$1,0)</f>
        <v>6604</v>
      </c>
      <c r="F15" s="40">
        <f>ROUNDDOWN(SUM(F12:F13)*計算基礎!$I$1,0)</f>
        <v>4875</v>
      </c>
    </row>
    <row r="16" spans="1:8" ht="19.7" customHeight="1" thickBot="1" x14ac:dyDescent="0.2">
      <c r="A16" s="4" t="s">
        <v>6</v>
      </c>
      <c r="B16" s="8">
        <f>SUM(B12:B15)</f>
        <v>39149</v>
      </c>
      <c r="C16" s="9">
        <f>SUM(C12:C15)</f>
        <v>28050</v>
      </c>
      <c r="E16" s="40">
        <f>SUM(E12:E15)</f>
        <v>72644</v>
      </c>
      <c r="F16" s="41">
        <f>F12+F13+F15</f>
        <v>53625</v>
      </c>
    </row>
    <row r="17" spans="1:6" ht="27.75" customHeight="1" thickTop="1" thickBot="1" x14ac:dyDescent="0.25">
      <c r="A17" s="5" t="s">
        <v>9</v>
      </c>
      <c r="B17" s="45">
        <f>B16+C16</f>
        <v>67199</v>
      </c>
      <c r="C17" s="46"/>
      <c r="D17" s="44" t="str">
        <f>IF(B17&lt;F17,"＜","＞")</f>
        <v>＜</v>
      </c>
      <c r="E17" s="52" t="s">
        <v>48</v>
      </c>
      <c r="F17" s="43">
        <f>E16+F16</f>
        <v>126269</v>
      </c>
    </row>
  </sheetData>
  <sheetProtection sheet="1" objects="1" scenarios="1" selectLockedCells="1"/>
  <mergeCells count="4">
    <mergeCell ref="B17:C17"/>
    <mergeCell ref="A1:D1"/>
    <mergeCell ref="E1:H1"/>
    <mergeCell ref="A3:H3"/>
  </mergeCells>
  <phoneticPr fontId="2"/>
  <conditionalFormatting sqref="F8">
    <cfRule type="cellIs" dxfId="2" priority="3" stopIfTrue="1" operator="greaterThan">
      <formula>0</formula>
    </cfRule>
  </conditionalFormatting>
  <conditionalFormatting sqref="F7">
    <cfRule type="cellIs" dxfId="1" priority="2" stopIfTrue="1" operator="equal">
      <formula>"あり"</formula>
    </cfRule>
  </conditionalFormatting>
  <conditionalFormatting sqref="F9">
    <cfRule type="cellIs" dxfId="0" priority="1" stopIfTrue="1" operator="equal">
      <formula>"あり（15日以下）"</formula>
    </cfRule>
  </conditionalFormatting>
  <dataValidations count="3">
    <dataValidation type="list" allowBlank="1" showInputMessage="1" showErrorMessage="1" sqref="F6">
      <formula1>"13,20,25,30,40,50,75,100"</formula1>
    </dataValidation>
    <dataValidation type="list" allowBlank="1" showDropDown="1" showInputMessage="1" showErrorMessage="1" sqref="F5">
      <formula1>"家事用"</formula1>
    </dataValidation>
    <dataValidation type="list" allowBlank="1" showInputMessage="1" showErrorMessage="1" sqref="F9">
      <formula1>"なし,あり（15日以下）"</formula1>
    </dataValidation>
  </dataValidations>
  <pageMargins left="0.98425196850393704" right="0.78740157480314965" top="1.1811023622047245" bottom="0.98425196850393704" header="0.51181102362204722" footer="0.51181102362204722"/>
  <pageSetup paperSize="9" orientation="portrait" r:id="rId1"/>
  <headerFooter alignWithMargins="0">
    <oddHeader xml:space="preserve">&amp;R&amp;10&amp;D　&amp;T
&amp;"ＭＳ Ｐゴシック,太字"
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zoomScaleNormal="100" workbookViewId="0">
      <selection activeCell="P4" sqref="P4"/>
    </sheetView>
  </sheetViews>
  <sheetFormatPr defaultRowHeight="13.5" x14ac:dyDescent="0.15"/>
  <cols>
    <col min="1" max="1" width="11" bestFit="1" customWidth="1"/>
    <col min="2" max="2" width="5.75" customWidth="1"/>
    <col min="3" max="3" width="3.375" bestFit="1" customWidth="1"/>
    <col min="4" max="4" width="5.75" customWidth="1"/>
    <col min="5" max="5" width="3.5" bestFit="1" customWidth="1"/>
    <col min="6" max="6" width="4" customWidth="1"/>
    <col min="7" max="7" width="5.75" customWidth="1"/>
    <col min="8" max="8" width="3.375" bestFit="1" customWidth="1"/>
    <col min="9" max="9" width="7.375" customWidth="1"/>
    <col min="10" max="10" width="3.375" customWidth="1"/>
    <col min="12" max="12" width="2.625" customWidth="1"/>
    <col min="14" max="14" width="2.25" customWidth="1"/>
    <col min="15" max="15" width="13" bestFit="1" customWidth="1"/>
    <col min="16" max="16" width="5.5" bestFit="1" customWidth="1"/>
    <col min="17" max="17" width="3.375" bestFit="1" customWidth="1"/>
    <col min="18" max="19" width="4.5" bestFit="1" customWidth="1"/>
    <col min="20" max="20" width="5.5" bestFit="1" customWidth="1"/>
    <col min="21" max="21" width="6.5" bestFit="1" customWidth="1"/>
    <col min="22" max="22" width="3.375" bestFit="1" customWidth="1"/>
    <col min="23" max="23" width="7.5" bestFit="1" customWidth="1"/>
    <col min="24" max="24" width="2.5" bestFit="1" customWidth="1"/>
    <col min="26" max="26" width="2.25" customWidth="1"/>
  </cols>
  <sheetData>
    <row r="1" spans="1:25" x14ac:dyDescent="0.15">
      <c r="A1" t="s">
        <v>19</v>
      </c>
      <c r="D1" t="s">
        <v>40</v>
      </c>
      <c r="G1">
        <v>1.1000000000000001</v>
      </c>
      <c r="I1">
        <f>G1-1</f>
        <v>0.10000000000000009</v>
      </c>
      <c r="O1" t="s">
        <v>24</v>
      </c>
    </row>
    <row r="3" spans="1:25" x14ac:dyDescent="0.15">
      <c r="A3" t="s">
        <v>14</v>
      </c>
      <c r="O3" t="s">
        <v>26</v>
      </c>
      <c r="U3" s="1"/>
    </row>
    <row r="4" spans="1:25" x14ac:dyDescent="0.15">
      <c r="A4" t="s">
        <v>15</v>
      </c>
      <c r="B4">
        <v>850</v>
      </c>
      <c r="C4" t="s">
        <v>21</v>
      </c>
      <c r="D4">
        <f>上下水道料金計算シート!$B$8</f>
        <v>10</v>
      </c>
      <c r="F4" t="s">
        <v>22</v>
      </c>
      <c r="G4">
        <f>B4*D4</f>
        <v>8500</v>
      </c>
      <c r="P4">
        <v>750</v>
      </c>
      <c r="Q4" s="1" t="s">
        <v>21</v>
      </c>
      <c r="R4">
        <f>上下水道料金計算シート!$B$8</f>
        <v>10</v>
      </c>
      <c r="T4" t="s">
        <v>27</v>
      </c>
      <c r="U4">
        <f>P4*R4</f>
        <v>7500</v>
      </c>
      <c r="V4" s="1"/>
      <c r="X4" s="1"/>
    </row>
    <row r="5" spans="1:25" x14ac:dyDescent="0.15">
      <c r="A5" t="s">
        <v>18</v>
      </c>
      <c r="B5">
        <v>1600</v>
      </c>
      <c r="C5" t="s">
        <v>21</v>
      </c>
      <c r="D5">
        <f>上下水道料金計算シート!$B$8</f>
        <v>10</v>
      </c>
      <c r="F5" t="s">
        <v>22</v>
      </c>
      <c r="G5">
        <f>B5*D5</f>
        <v>16000</v>
      </c>
      <c r="Q5" s="1"/>
      <c r="V5" s="1"/>
      <c r="X5" s="1"/>
    </row>
    <row r="6" spans="1:25" x14ac:dyDescent="0.15">
      <c r="Q6" s="1"/>
      <c r="V6" s="1"/>
      <c r="X6" s="1"/>
    </row>
    <row r="7" spans="1:25" x14ac:dyDescent="0.15">
      <c r="A7" t="s">
        <v>17</v>
      </c>
      <c r="G7" s="1" t="s">
        <v>23</v>
      </c>
      <c r="O7" t="s">
        <v>25</v>
      </c>
      <c r="U7" s="1" t="s">
        <v>23</v>
      </c>
    </row>
    <row r="8" spans="1:25" x14ac:dyDescent="0.15">
      <c r="B8">
        <v>6</v>
      </c>
      <c r="C8" s="1" t="s">
        <v>20</v>
      </c>
      <c r="D8">
        <v>10</v>
      </c>
      <c r="E8">
        <f>D8-B8+1</f>
        <v>5</v>
      </c>
      <c r="G8">
        <v>160</v>
      </c>
      <c r="H8" s="1" t="s">
        <v>21</v>
      </c>
      <c r="I8">
        <f>IF(上下水道料金計算シート!$B$9&lt;計算基礎!B8,0,IF(上下水道料金計算シート!$B$9&gt;計算基礎!D8,E8,上下水道料金計算シート!$B$9-5))</f>
        <v>5</v>
      </c>
      <c r="J8" s="1" t="s">
        <v>22</v>
      </c>
      <c r="K8">
        <f>G8*I8</f>
        <v>800</v>
      </c>
      <c r="P8">
        <v>1</v>
      </c>
      <c r="Q8" s="1" t="s">
        <v>20</v>
      </c>
      <c r="R8">
        <v>10</v>
      </c>
      <c r="S8">
        <f>R8-P8+1</f>
        <v>10</v>
      </c>
      <c r="U8">
        <v>50</v>
      </c>
      <c r="V8" s="1" t="s">
        <v>21</v>
      </c>
      <c r="W8">
        <f>IF(上下水道料金計算シート!$G$8&gt;R8,S8,上下水道料金計算シート!$G$8)</f>
        <v>10</v>
      </c>
      <c r="X8" s="1" t="s">
        <v>22</v>
      </c>
      <c r="Y8">
        <f>U8*W8</f>
        <v>500</v>
      </c>
    </row>
    <row r="9" spans="1:25" x14ac:dyDescent="0.15">
      <c r="B9">
        <v>11</v>
      </c>
      <c r="C9" s="1" t="s">
        <v>20</v>
      </c>
      <c r="D9">
        <v>15</v>
      </c>
      <c r="E9">
        <f t="shared" ref="E9:E14" si="0">D9-B9+1</f>
        <v>5</v>
      </c>
      <c r="G9">
        <v>180</v>
      </c>
      <c r="H9" s="1" t="s">
        <v>21</v>
      </c>
      <c r="I9">
        <f>IF(上下水道料金計算シート!$B$9&lt;計算基礎!B9,0,IF(上下水道料金計算シート!$B$9&gt;計算基礎!D9,E9,上下水道料金計算シート!$B$9-D8))</f>
        <v>5</v>
      </c>
      <c r="J9" s="1" t="s">
        <v>22</v>
      </c>
      <c r="K9">
        <f t="shared" ref="K9:K15" si="1">G9*I9</f>
        <v>900</v>
      </c>
      <c r="P9">
        <v>11</v>
      </c>
      <c r="Q9" s="1" t="s">
        <v>20</v>
      </c>
      <c r="R9">
        <v>20</v>
      </c>
      <c r="S9">
        <f t="shared" ref="S9:S14" si="2">R9-P9+1</f>
        <v>10</v>
      </c>
      <c r="U9">
        <v>130</v>
      </c>
      <c r="V9" s="1" t="s">
        <v>21</v>
      </c>
      <c r="W9">
        <f>IF(上下水道料金計算シート!$G$8&lt;計算基礎!P9,0,IF(上下水道料金計算シート!$G$8&gt;計算基礎!R9,S9,上下水道料金計算シート!$G$8-R8))</f>
        <v>10</v>
      </c>
      <c r="X9" s="1" t="s">
        <v>22</v>
      </c>
      <c r="Y9">
        <f t="shared" ref="Y9:Y15" si="3">U9*W9</f>
        <v>1300</v>
      </c>
    </row>
    <row r="10" spans="1:25" x14ac:dyDescent="0.15">
      <c r="B10">
        <v>16</v>
      </c>
      <c r="C10" s="1" t="s">
        <v>20</v>
      </c>
      <c r="D10">
        <v>20</v>
      </c>
      <c r="E10">
        <f t="shared" si="0"/>
        <v>5</v>
      </c>
      <c r="G10">
        <v>200</v>
      </c>
      <c r="H10" s="1" t="s">
        <v>21</v>
      </c>
      <c r="I10">
        <f>IF(上下水道料金計算シート!$B$9&lt;計算基礎!B10,0,IF(上下水道料金計算シート!$B$9&gt;計算基礎!D10,E10,上下水道料金計算シート!$B$9-D9))</f>
        <v>5</v>
      </c>
      <c r="J10" s="1" t="s">
        <v>22</v>
      </c>
      <c r="K10">
        <f t="shared" si="1"/>
        <v>1000</v>
      </c>
      <c r="P10">
        <v>21</v>
      </c>
      <c r="Q10" s="1" t="s">
        <v>20</v>
      </c>
      <c r="R10">
        <v>30</v>
      </c>
      <c r="S10">
        <f t="shared" si="2"/>
        <v>10</v>
      </c>
      <c r="U10">
        <v>160</v>
      </c>
      <c r="V10" s="1" t="s">
        <v>21</v>
      </c>
      <c r="W10">
        <f>IF(上下水道料金計算シート!$G$8&lt;計算基礎!P10,0,IF(上下水道料金計算シート!$G$8&gt;計算基礎!R10,S10,上下水道料金計算シート!$G$8-R9))</f>
        <v>10</v>
      </c>
      <c r="X10" s="1" t="s">
        <v>22</v>
      </c>
      <c r="Y10">
        <f t="shared" si="3"/>
        <v>1600</v>
      </c>
    </row>
    <row r="11" spans="1:25" x14ac:dyDescent="0.15">
      <c r="B11">
        <v>21</v>
      </c>
      <c r="C11" s="1" t="s">
        <v>20</v>
      </c>
      <c r="D11">
        <v>30</v>
      </c>
      <c r="E11">
        <f t="shared" si="0"/>
        <v>10</v>
      </c>
      <c r="G11">
        <v>250</v>
      </c>
      <c r="H11" s="1" t="s">
        <v>21</v>
      </c>
      <c r="I11">
        <f>IF(上下水道料金計算シート!$B$9&lt;計算基礎!B11,0,IF(上下水道料金計算シート!$B$9&gt;計算基礎!D11,E11,上下水道料金計算シート!$B$9-D10))</f>
        <v>10</v>
      </c>
      <c r="J11" s="1" t="s">
        <v>22</v>
      </c>
      <c r="K11">
        <f t="shared" si="1"/>
        <v>2500</v>
      </c>
      <c r="P11">
        <v>31</v>
      </c>
      <c r="Q11" s="1" t="s">
        <v>20</v>
      </c>
      <c r="R11">
        <v>40</v>
      </c>
      <c r="S11">
        <f t="shared" si="2"/>
        <v>10</v>
      </c>
      <c r="U11">
        <v>190</v>
      </c>
      <c r="V11" s="1" t="s">
        <v>21</v>
      </c>
      <c r="W11">
        <f>IF(上下水道料金計算シート!$G$8&lt;計算基礎!P11,0,IF(上下水道料金計算シート!$G$8&gt;計算基礎!R11,S11,上下水道料金計算シート!$G$8-R10))</f>
        <v>10</v>
      </c>
      <c r="X11" s="1" t="s">
        <v>22</v>
      </c>
      <c r="Y11">
        <f t="shared" si="3"/>
        <v>1900</v>
      </c>
    </row>
    <row r="12" spans="1:25" x14ac:dyDescent="0.15">
      <c r="B12">
        <v>31</v>
      </c>
      <c r="C12" s="1" t="s">
        <v>20</v>
      </c>
      <c r="D12">
        <v>40</v>
      </c>
      <c r="E12">
        <f t="shared" si="0"/>
        <v>10</v>
      </c>
      <c r="G12">
        <v>270</v>
      </c>
      <c r="H12" s="1" t="s">
        <v>21</v>
      </c>
      <c r="I12">
        <f>IF(上下水道料金計算シート!$B$9&lt;計算基礎!B12,0,IF(上下水道料金計算シート!$B$9&gt;計算基礎!D12,E12,上下水道料金計算シート!$B$9-D11))</f>
        <v>10</v>
      </c>
      <c r="J12" s="1" t="s">
        <v>22</v>
      </c>
      <c r="K12">
        <f t="shared" si="1"/>
        <v>2700</v>
      </c>
      <c r="P12">
        <v>41</v>
      </c>
      <c r="Q12" s="1" t="s">
        <v>20</v>
      </c>
      <c r="R12">
        <v>50</v>
      </c>
      <c r="S12">
        <f t="shared" si="2"/>
        <v>10</v>
      </c>
      <c r="U12">
        <v>220</v>
      </c>
      <c r="V12" s="1" t="s">
        <v>21</v>
      </c>
      <c r="W12">
        <f>IF(上下水道料金計算シート!$G$8&lt;計算基礎!P12,0,IF(上下水道料金計算シート!$G$8&gt;計算基礎!R12,S12,上下水道料金計算シート!$G$8-R11))</f>
        <v>10</v>
      </c>
      <c r="X12" s="1" t="s">
        <v>22</v>
      </c>
      <c r="Y12">
        <f t="shared" si="3"/>
        <v>2200</v>
      </c>
    </row>
    <row r="13" spans="1:25" x14ac:dyDescent="0.15">
      <c r="B13">
        <v>41</v>
      </c>
      <c r="C13" s="1" t="s">
        <v>20</v>
      </c>
      <c r="D13">
        <v>50</v>
      </c>
      <c r="E13">
        <f t="shared" si="0"/>
        <v>10</v>
      </c>
      <c r="G13">
        <v>320</v>
      </c>
      <c r="H13" s="1" t="s">
        <v>21</v>
      </c>
      <c r="I13">
        <f>IF(上下水道料金計算シート!$B$9&lt;計算基礎!B13,0,IF(上下水道料金計算シート!$B$9&gt;計算基礎!D13,E13,上下水道料金計算シート!$B$9-D12))</f>
        <v>10</v>
      </c>
      <c r="J13" s="1" t="s">
        <v>22</v>
      </c>
      <c r="K13">
        <f t="shared" si="1"/>
        <v>3200</v>
      </c>
      <c r="P13">
        <v>51</v>
      </c>
      <c r="Q13" s="1" t="s">
        <v>20</v>
      </c>
      <c r="R13">
        <v>100</v>
      </c>
      <c r="S13">
        <f t="shared" si="2"/>
        <v>50</v>
      </c>
      <c r="U13">
        <v>250</v>
      </c>
      <c r="V13" s="1" t="s">
        <v>21</v>
      </c>
      <c r="W13">
        <f>IF(上下水道料金計算シート!$G$8&lt;計算基礎!P13,0,IF(上下水道料金計算シート!$G$8&gt;計算基礎!R13,S13,上下水道料金計算シート!$G$8-R12))</f>
        <v>50</v>
      </c>
      <c r="X13" s="1" t="s">
        <v>22</v>
      </c>
      <c r="Y13">
        <f t="shared" si="3"/>
        <v>12500</v>
      </c>
    </row>
    <row r="14" spans="1:25" x14ac:dyDescent="0.15">
      <c r="B14">
        <v>51</v>
      </c>
      <c r="C14" s="1" t="s">
        <v>20</v>
      </c>
      <c r="D14">
        <v>100</v>
      </c>
      <c r="E14">
        <f t="shared" si="0"/>
        <v>50</v>
      </c>
      <c r="G14">
        <v>340</v>
      </c>
      <c r="H14" s="1" t="s">
        <v>21</v>
      </c>
      <c r="I14">
        <f>IF(上下水道料金計算シート!$B$9&lt;計算基礎!B14,0,IF(上下水道料金計算シート!$B$9&gt;計算基礎!D14,E14,上下水道料金計算シート!$B$9-D13))</f>
        <v>50</v>
      </c>
      <c r="J14" s="1" t="s">
        <v>22</v>
      </c>
      <c r="K14">
        <f t="shared" si="1"/>
        <v>17000</v>
      </c>
      <c r="P14">
        <v>101</v>
      </c>
      <c r="Q14" s="1" t="s">
        <v>20</v>
      </c>
      <c r="R14">
        <v>500</v>
      </c>
      <c r="S14">
        <f t="shared" si="2"/>
        <v>400</v>
      </c>
      <c r="U14">
        <v>280</v>
      </c>
      <c r="V14" s="1" t="s">
        <v>21</v>
      </c>
      <c r="W14">
        <f>IF(上下水道料金計算シート!$G$8&lt;計算基礎!P14,0,IF(上下水道料金計算シート!$G$8&gt;計算基礎!R14,S14,上下水道料金計算シート!$G$8-R13))</f>
        <v>100</v>
      </c>
      <c r="X14" s="1" t="s">
        <v>22</v>
      </c>
      <c r="Y14">
        <f t="shared" si="3"/>
        <v>28000</v>
      </c>
    </row>
    <row r="15" spans="1:25" x14ac:dyDescent="0.15">
      <c r="B15">
        <v>101</v>
      </c>
      <c r="C15" s="1" t="s">
        <v>20</v>
      </c>
      <c r="G15">
        <v>370</v>
      </c>
      <c r="H15" s="1" t="s">
        <v>21</v>
      </c>
      <c r="I15">
        <f>IF(上下水道料金計算シート!$B$9&lt;計算基礎!B15,0,上下水道料金計算シート!$B$9-D14)</f>
        <v>100</v>
      </c>
      <c r="J15" s="1" t="s">
        <v>22</v>
      </c>
      <c r="K15">
        <f t="shared" si="1"/>
        <v>37000</v>
      </c>
      <c r="P15">
        <v>501</v>
      </c>
      <c r="Q15" s="1" t="s">
        <v>20</v>
      </c>
      <c r="U15">
        <v>310</v>
      </c>
      <c r="V15" s="1" t="s">
        <v>21</v>
      </c>
      <c r="W15">
        <f>IF(上下水道料金計算シート!$G$8&lt;計算基礎!P15,0,上下水道料金計算シート!$G$8-R14)</f>
        <v>0</v>
      </c>
      <c r="X15" s="1" t="s">
        <v>22</v>
      </c>
      <c r="Y15">
        <f t="shared" si="3"/>
        <v>0</v>
      </c>
    </row>
    <row r="17" spans="1:27" x14ac:dyDescent="0.15">
      <c r="A17" t="s">
        <v>10</v>
      </c>
      <c r="B17" t="s">
        <v>11</v>
      </c>
    </row>
    <row r="18" spans="1:27" x14ac:dyDescent="0.15">
      <c r="A18">
        <v>13</v>
      </c>
      <c r="B18">
        <v>60</v>
      </c>
    </row>
    <row r="19" spans="1:27" x14ac:dyDescent="0.15">
      <c r="A19">
        <v>20</v>
      </c>
      <c r="B19">
        <v>90</v>
      </c>
    </row>
    <row r="20" spans="1:27" x14ac:dyDescent="0.15">
      <c r="A20">
        <v>25</v>
      </c>
      <c r="B20">
        <v>90</v>
      </c>
    </row>
    <row r="21" spans="1:27" x14ac:dyDescent="0.15">
      <c r="A21">
        <v>30</v>
      </c>
      <c r="B21">
        <v>180</v>
      </c>
    </row>
    <row r="22" spans="1:27" x14ac:dyDescent="0.15">
      <c r="A22">
        <v>40</v>
      </c>
      <c r="B22">
        <v>180</v>
      </c>
    </row>
    <row r="23" spans="1:27" x14ac:dyDescent="0.15">
      <c r="A23">
        <v>50</v>
      </c>
      <c r="B23">
        <v>600</v>
      </c>
    </row>
    <row r="24" spans="1:27" x14ac:dyDescent="0.15">
      <c r="A24">
        <v>75</v>
      </c>
      <c r="B24">
        <v>1050</v>
      </c>
    </row>
    <row r="25" spans="1:27" x14ac:dyDescent="0.15">
      <c r="A25">
        <v>100</v>
      </c>
      <c r="B25">
        <v>1500</v>
      </c>
    </row>
    <row r="27" spans="1:27" x14ac:dyDescent="0.15">
      <c r="A27" t="s">
        <v>16</v>
      </c>
      <c r="O27" t="s">
        <v>16</v>
      </c>
    </row>
    <row r="28" spans="1:27" x14ac:dyDescent="0.15">
      <c r="A28" t="s">
        <v>30</v>
      </c>
      <c r="B28">
        <f>集合世帯数*5</f>
        <v>50</v>
      </c>
    </row>
    <row r="29" spans="1:27" x14ac:dyDescent="0.15">
      <c r="A29" t="s">
        <v>28</v>
      </c>
      <c r="B29">
        <f>使用水量-計算基礎!B28</f>
        <v>150</v>
      </c>
      <c r="O29" t="s">
        <v>35</v>
      </c>
      <c r="P29">
        <f>上下水道料金計算シート!$G$8</f>
        <v>200</v>
      </c>
    </row>
    <row r="30" spans="1:27" x14ac:dyDescent="0.15">
      <c r="A30" t="s">
        <v>29</v>
      </c>
      <c r="B30">
        <f>(INT(B29/集合世帯数))+5</f>
        <v>20</v>
      </c>
      <c r="C30" t="s">
        <v>31</v>
      </c>
      <c r="D30">
        <f>集合世帯数-計算基礎!D31</f>
        <v>10</v>
      </c>
      <c r="E30" t="s">
        <v>22</v>
      </c>
      <c r="F30">
        <f>B30*D30</f>
        <v>200</v>
      </c>
      <c r="I30">
        <f>SUM(K34:K41)</f>
        <v>2700</v>
      </c>
      <c r="J30" t="s">
        <v>33</v>
      </c>
      <c r="K30">
        <f>D30</f>
        <v>10</v>
      </c>
      <c r="L30" t="s">
        <v>22</v>
      </c>
      <c r="M30">
        <f>I30*K30</f>
        <v>27000</v>
      </c>
      <c r="O30" t="s">
        <v>29</v>
      </c>
      <c r="P30">
        <f>(INT(P29/集合世帯数))</f>
        <v>20</v>
      </c>
      <c r="Q30" t="s">
        <v>21</v>
      </c>
      <c r="R30">
        <f>集合世帯数-計算基礎!R31</f>
        <v>10</v>
      </c>
      <c r="S30" t="s">
        <v>22</v>
      </c>
      <c r="T30">
        <f>P30*R30</f>
        <v>200</v>
      </c>
      <c r="W30">
        <f>SUM(Y34:Y41)</f>
        <v>1800</v>
      </c>
      <c r="X30" t="s">
        <v>21</v>
      </c>
      <c r="Y30">
        <f>R30</f>
        <v>10</v>
      </c>
      <c r="Z30" t="s">
        <v>22</v>
      </c>
      <c r="AA30">
        <f>W30*Y30</f>
        <v>18000</v>
      </c>
    </row>
    <row r="31" spans="1:27" x14ac:dyDescent="0.15">
      <c r="B31">
        <f>B30+1</f>
        <v>21</v>
      </c>
      <c r="C31" t="s">
        <v>21</v>
      </c>
      <c r="D31">
        <f>MOD(B29,集合世帯数)</f>
        <v>0</v>
      </c>
      <c r="E31" t="s">
        <v>22</v>
      </c>
      <c r="F31">
        <f>B31*D31</f>
        <v>0</v>
      </c>
      <c r="I31">
        <f>SUM(K44:K51)</f>
        <v>2950</v>
      </c>
      <c r="J31" t="s">
        <v>33</v>
      </c>
      <c r="K31">
        <f>D31</f>
        <v>0</v>
      </c>
      <c r="L31" t="s">
        <v>22</v>
      </c>
      <c r="M31">
        <f>I31*K31</f>
        <v>0</v>
      </c>
      <c r="P31">
        <f>P30+1</f>
        <v>21</v>
      </c>
      <c r="Q31" t="s">
        <v>21</v>
      </c>
      <c r="R31">
        <f>MOD(P29,集合世帯数)</f>
        <v>0</v>
      </c>
      <c r="S31" t="s">
        <v>22</v>
      </c>
      <c r="T31">
        <f>P31*R31</f>
        <v>0</v>
      </c>
      <c r="W31">
        <f>SUM(Y44:Y51)</f>
        <v>1960</v>
      </c>
      <c r="X31" t="s">
        <v>21</v>
      </c>
      <c r="Y31">
        <f>R31</f>
        <v>0</v>
      </c>
      <c r="Z31" t="s">
        <v>22</v>
      </c>
      <c r="AA31">
        <f>W31*Y31</f>
        <v>0</v>
      </c>
    </row>
    <row r="33" spans="1:25" x14ac:dyDescent="0.15">
      <c r="A33" t="s">
        <v>32</v>
      </c>
      <c r="G33" s="1" t="s">
        <v>23</v>
      </c>
      <c r="O33" t="s">
        <v>32</v>
      </c>
      <c r="U33" s="1" t="s">
        <v>23</v>
      </c>
    </row>
    <row r="34" spans="1:25" x14ac:dyDescent="0.15">
      <c r="B34">
        <v>6</v>
      </c>
      <c r="C34" s="1" t="s">
        <v>20</v>
      </c>
      <c r="D34">
        <v>10</v>
      </c>
      <c r="E34">
        <f>D34-B34+1</f>
        <v>5</v>
      </c>
      <c r="G34">
        <v>160</v>
      </c>
      <c r="H34" s="1" t="s">
        <v>21</v>
      </c>
      <c r="I34">
        <f>IF($B$30&lt;計算基礎!B34,0,IF($B$30&gt;計算基礎!D34,E34,$B$30-5))</f>
        <v>5</v>
      </c>
      <c r="J34" s="1" t="s">
        <v>22</v>
      </c>
      <c r="K34">
        <f>G34*I34</f>
        <v>800</v>
      </c>
      <c r="P34">
        <v>1</v>
      </c>
      <c r="Q34" s="1" t="s">
        <v>20</v>
      </c>
      <c r="R34">
        <v>10</v>
      </c>
      <c r="S34">
        <f>R34-P34+1</f>
        <v>10</v>
      </c>
      <c r="U34">
        <v>50</v>
      </c>
      <c r="V34" s="1" t="s">
        <v>21</v>
      </c>
      <c r="W34">
        <f>IF(P30&gt;R34,S34,P30)</f>
        <v>10</v>
      </c>
      <c r="X34" s="1" t="s">
        <v>22</v>
      </c>
      <c r="Y34">
        <f>U34*W34</f>
        <v>500</v>
      </c>
    </row>
    <row r="35" spans="1:25" x14ac:dyDescent="0.15">
      <c r="B35">
        <v>11</v>
      </c>
      <c r="C35" s="1" t="s">
        <v>20</v>
      </c>
      <c r="D35">
        <v>15</v>
      </c>
      <c r="E35">
        <f t="shared" ref="E35:E40" si="4">D35-B35+1</f>
        <v>5</v>
      </c>
      <c r="G35">
        <v>180</v>
      </c>
      <c r="H35" s="1" t="s">
        <v>21</v>
      </c>
      <c r="I35">
        <f>IF($B$30&lt;計算基礎!B35,0,IF($B$30&gt;計算基礎!D35,E35,$B$30-D34))</f>
        <v>5</v>
      </c>
      <c r="J35" s="1" t="s">
        <v>22</v>
      </c>
      <c r="K35">
        <f t="shared" ref="K35:K41" si="5">G35*I35</f>
        <v>900</v>
      </c>
      <c r="P35">
        <v>11</v>
      </c>
      <c r="Q35" s="1" t="s">
        <v>20</v>
      </c>
      <c r="R35">
        <v>20</v>
      </c>
      <c r="S35">
        <f t="shared" ref="S35:S40" si="6">R35-P35+1</f>
        <v>10</v>
      </c>
      <c r="U35">
        <v>130</v>
      </c>
      <c r="V35" s="1" t="s">
        <v>21</v>
      </c>
      <c r="W35">
        <f>IF(P30&lt;計算基礎!P35,0,IF(P30&gt;計算基礎!R35,S35,P30-R34))</f>
        <v>10</v>
      </c>
      <c r="X35" s="1" t="s">
        <v>22</v>
      </c>
      <c r="Y35">
        <f t="shared" ref="Y35:Y41" si="7">U35*W35</f>
        <v>1300</v>
      </c>
    </row>
    <row r="36" spans="1:25" x14ac:dyDescent="0.15">
      <c r="B36">
        <v>16</v>
      </c>
      <c r="C36" s="1" t="s">
        <v>20</v>
      </c>
      <c r="D36">
        <v>20</v>
      </c>
      <c r="E36">
        <f t="shared" si="4"/>
        <v>5</v>
      </c>
      <c r="G36">
        <v>200</v>
      </c>
      <c r="H36" s="1" t="s">
        <v>21</v>
      </c>
      <c r="I36">
        <f>IF($B$30&lt;計算基礎!B36,0,IF($B$30&gt;計算基礎!D36,E36,$B$30-D35))</f>
        <v>5</v>
      </c>
      <c r="J36" s="1" t="s">
        <v>22</v>
      </c>
      <c r="K36">
        <f t="shared" si="5"/>
        <v>1000</v>
      </c>
      <c r="P36">
        <v>21</v>
      </c>
      <c r="Q36" s="1" t="s">
        <v>20</v>
      </c>
      <c r="R36">
        <v>30</v>
      </c>
      <c r="S36">
        <f t="shared" si="6"/>
        <v>10</v>
      </c>
      <c r="U36">
        <v>160</v>
      </c>
      <c r="V36" s="1" t="s">
        <v>21</v>
      </c>
      <c r="W36">
        <f>IF(P30&lt;計算基礎!P36,0,IF(P30&gt;計算基礎!R36,S36,P30-R35))</f>
        <v>0</v>
      </c>
      <c r="X36" s="1" t="s">
        <v>22</v>
      </c>
      <c r="Y36">
        <f t="shared" si="7"/>
        <v>0</v>
      </c>
    </row>
    <row r="37" spans="1:25" x14ac:dyDescent="0.15">
      <c r="B37">
        <v>21</v>
      </c>
      <c r="C37" s="1" t="s">
        <v>20</v>
      </c>
      <c r="D37">
        <v>30</v>
      </c>
      <c r="E37">
        <f t="shared" si="4"/>
        <v>10</v>
      </c>
      <c r="G37">
        <v>250</v>
      </c>
      <c r="H37" s="1" t="s">
        <v>21</v>
      </c>
      <c r="I37">
        <f>IF($B$30&lt;計算基礎!B37,0,IF($B$30&gt;計算基礎!D37,E37,$B$30-D36))</f>
        <v>0</v>
      </c>
      <c r="J37" s="1" t="s">
        <v>22</v>
      </c>
      <c r="K37">
        <f t="shared" si="5"/>
        <v>0</v>
      </c>
      <c r="P37">
        <v>31</v>
      </c>
      <c r="Q37" s="1" t="s">
        <v>20</v>
      </c>
      <c r="R37">
        <v>40</v>
      </c>
      <c r="S37">
        <f t="shared" si="6"/>
        <v>10</v>
      </c>
      <c r="U37">
        <v>190</v>
      </c>
      <c r="V37" s="1" t="s">
        <v>21</v>
      </c>
      <c r="W37">
        <f>IF(P30&lt;計算基礎!P37,0,IF(P30&gt;計算基礎!R37,S37,P30-R36))</f>
        <v>0</v>
      </c>
      <c r="X37" s="1" t="s">
        <v>22</v>
      </c>
      <c r="Y37">
        <f t="shared" si="7"/>
        <v>0</v>
      </c>
    </row>
    <row r="38" spans="1:25" x14ac:dyDescent="0.15">
      <c r="B38">
        <v>31</v>
      </c>
      <c r="C38" s="1" t="s">
        <v>20</v>
      </c>
      <c r="D38">
        <v>40</v>
      </c>
      <c r="E38">
        <f t="shared" si="4"/>
        <v>10</v>
      </c>
      <c r="G38">
        <v>270</v>
      </c>
      <c r="H38" s="1" t="s">
        <v>21</v>
      </c>
      <c r="I38">
        <f>IF($B$30&lt;計算基礎!B38,0,IF($B$30&gt;計算基礎!D38,E38,$B$30-D37))</f>
        <v>0</v>
      </c>
      <c r="J38" s="1" t="s">
        <v>22</v>
      </c>
      <c r="K38">
        <f t="shared" si="5"/>
        <v>0</v>
      </c>
      <c r="P38">
        <v>41</v>
      </c>
      <c r="Q38" s="1" t="s">
        <v>20</v>
      </c>
      <c r="R38">
        <v>50</v>
      </c>
      <c r="S38">
        <f t="shared" si="6"/>
        <v>10</v>
      </c>
      <c r="U38">
        <v>220</v>
      </c>
      <c r="V38" s="1" t="s">
        <v>21</v>
      </c>
      <c r="W38">
        <f>IF(P30&lt;計算基礎!P38,0,IF(P30&gt;計算基礎!R38,S38,P30-R37))</f>
        <v>0</v>
      </c>
      <c r="X38" s="1" t="s">
        <v>22</v>
      </c>
      <c r="Y38">
        <f t="shared" si="7"/>
        <v>0</v>
      </c>
    </row>
    <row r="39" spans="1:25" x14ac:dyDescent="0.15">
      <c r="B39">
        <v>41</v>
      </c>
      <c r="C39" s="1" t="s">
        <v>20</v>
      </c>
      <c r="D39">
        <v>50</v>
      </c>
      <c r="E39">
        <f t="shared" si="4"/>
        <v>10</v>
      </c>
      <c r="G39">
        <v>320</v>
      </c>
      <c r="H39" s="1" t="s">
        <v>21</v>
      </c>
      <c r="I39">
        <f>IF($B$30&lt;計算基礎!B39,0,IF($B$30&gt;計算基礎!D39,E39,$B$30-D38))</f>
        <v>0</v>
      </c>
      <c r="J39" s="1" t="s">
        <v>22</v>
      </c>
      <c r="K39">
        <f t="shared" si="5"/>
        <v>0</v>
      </c>
      <c r="P39">
        <v>51</v>
      </c>
      <c r="Q39" s="1" t="s">
        <v>20</v>
      </c>
      <c r="R39">
        <v>100</v>
      </c>
      <c r="S39">
        <f t="shared" si="6"/>
        <v>50</v>
      </c>
      <c r="U39">
        <v>250</v>
      </c>
      <c r="V39" s="1" t="s">
        <v>21</v>
      </c>
      <c r="W39">
        <f>IF(P30&lt;計算基礎!P39,0,IF(P30&gt;計算基礎!R39,S39,P30-R38))</f>
        <v>0</v>
      </c>
      <c r="X39" s="1" t="s">
        <v>22</v>
      </c>
      <c r="Y39">
        <f t="shared" si="7"/>
        <v>0</v>
      </c>
    </row>
    <row r="40" spans="1:25" x14ac:dyDescent="0.15">
      <c r="B40">
        <v>51</v>
      </c>
      <c r="C40" s="1" t="s">
        <v>20</v>
      </c>
      <c r="D40">
        <v>100</v>
      </c>
      <c r="E40">
        <f t="shared" si="4"/>
        <v>50</v>
      </c>
      <c r="G40">
        <v>340</v>
      </c>
      <c r="H40" s="1" t="s">
        <v>21</v>
      </c>
      <c r="I40">
        <f>IF($B$30&lt;計算基礎!B40,0,IF($B$30&gt;計算基礎!D40,E40,$B$30-D39))</f>
        <v>0</v>
      </c>
      <c r="J40" s="1" t="s">
        <v>22</v>
      </c>
      <c r="K40">
        <f t="shared" si="5"/>
        <v>0</v>
      </c>
      <c r="P40">
        <v>101</v>
      </c>
      <c r="Q40" s="1" t="s">
        <v>20</v>
      </c>
      <c r="R40">
        <v>500</v>
      </c>
      <c r="S40">
        <f t="shared" si="6"/>
        <v>400</v>
      </c>
      <c r="U40">
        <v>280</v>
      </c>
      <c r="V40" s="1" t="s">
        <v>21</v>
      </c>
      <c r="W40">
        <f>IF(P30&lt;計算基礎!P40,0,IF(P30&gt;計算基礎!R40,S40,P30-R39))</f>
        <v>0</v>
      </c>
      <c r="X40" s="1" t="s">
        <v>22</v>
      </c>
      <c r="Y40">
        <f t="shared" si="7"/>
        <v>0</v>
      </c>
    </row>
    <row r="41" spans="1:25" x14ac:dyDescent="0.15">
      <c r="B41">
        <v>101</v>
      </c>
      <c r="C41" s="1" t="s">
        <v>20</v>
      </c>
      <c r="G41">
        <v>370</v>
      </c>
      <c r="H41" s="1" t="s">
        <v>21</v>
      </c>
      <c r="I41">
        <f>IF($B$30&lt;計算基礎!B41,0,$B$30-D40)</f>
        <v>0</v>
      </c>
      <c r="J41" s="1" t="s">
        <v>22</v>
      </c>
      <c r="K41">
        <f t="shared" si="5"/>
        <v>0</v>
      </c>
      <c r="P41">
        <v>501</v>
      </c>
      <c r="Q41" s="1" t="s">
        <v>20</v>
      </c>
      <c r="U41">
        <v>310</v>
      </c>
      <c r="V41" s="1" t="s">
        <v>21</v>
      </c>
      <c r="W41">
        <f>IF(P30&lt;計算基礎!P41,0,P30-R40)</f>
        <v>0</v>
      </c>
      <c r="X41" s="1" t="s">
        <v>22</v>
      </c>
      <c r="Y41">
        <f t="shared" si="7"/>
        <v>0</v>
      </c>
    </row>
    <row r="43" spans="1:25" x14ac:dyDescent="0.15">
      <c r="A43" t="s">
        <v>34</v>
      </c>
      <c r="G43" s="1" t="s">
        <v>23</v>
      </c>
      <c r="O43" t="s">
        <v>34</v>
      </c>
      <c r="U43" s="1" t="s">
        <v>23</v>
      </c>
    </row>
    <row r="44" spans="1:25" x14ac:dyDescent="0.15">
      <c r="B44">
        <v>6</v>
      </c>
      <c r="C44" s="1" t="s">
        <v>20</v>
      </c>
      <c r="D44">
        <v>10</v>
      </c>
      <c r="E44">
        <f>D44-B44+1</f>
        <v>5</v>
      </c>
      <c r="G44">
        <v>160</v>
      </c>
      <c r="H44" s="1" t="s">
        <v>21</v>
      </c>
      <c r="I44">
        <f>IF($B$31&lt;計算基礎!B44,0,IF($B$31&gt;計算基礎!D44,E44,$B$31-5))</f>
        <v>5</v>
      </c>
      <c r="J44" s="1" t="s">
        <v>22</v>
      </c>
      <c r="K44">
        <f>G44*I44</f>
        <v>800</v>
      </c>
      <c r="P44">
        <v>1</v>
      </c>
      <c r="Q44" s="1" t="s">
        <v>20</v>
      </c>
      <c r="R44">
        <v>10</v>
      </c>
      <c r="S44">
        <f>R44-P44+1</f>
        <v>10</v>
      </c>
      <c r="U44">
        <v>50</v>
      </c>
      <c r="V44" s="1" t="s">
        <v>21</v>
      </c>
      <c r="W44">
        <f>IF(P31&gt;R44,S44,P31)</f>
        <v>10</v>
      </c>
      <c r="X44" s="1" t="s">
        <v>22</v>
      </c>
      <c r="Y44">
        <f>U44*W44</f>
        <v>500</v>
      </c>
    </row>
    <row r="45" spans="1:25" x14ac:dyDescent="0.15">
      <c r="B45">
        <v>11</v>
      </c>
      <c r="C45" s="1" t="s">
        <v>20</v>
      </c>
      <c r="D45">
        <v>15</v>
      </c>
      <c r="E45">
        <f t="shared" ref="E45:E50" si="8">D45-B45+1</f>
        <v>5</v>
      </c>
      <c r="G45">
        <v>180</v>
      </c>
      <c r="H45" s="1" t="s">
        <v>21</v>
      </c>
      <c r="I45">
        <f>IF($B$31&lt;計算基礎!B45,0,IF($B$31&gt;計算基礎!D45,E45,$B$31-D44))</f>
        <v>5</v>
      </c>
      <c r="J45" s="1" t="s">
        <v>22</v>
      </c>
      <c r="K45">
        <f t="shared" ref="K45:K51" si="9">G45*I45</f>
        <v>900</v>
      </c>
      <c r="P45">
        <v>11</v>
      </c>
      <c r="Q45" s="1" t="s">
        <v>20</v>
      </c>
      <c r="R45">
        <v>20</v>
      </c>
      <c r="S45">
        <f t="shared" ref="S45:S50" si="10">R45-P45+1</f>
        <v>10</v>
      </c>
      <c r="U45">
        <v>130</v>
      </c>
      <c r="V45" s="1" t="s">
        <v>21</v>
      </c>
      <c r="W45">
        <f>IF(P31&lt;計算基礎!P45,0,IF(P31&gt;計算基礎!R45,S45,P31-R44))</f>
        <v>10</v>
      </c>
      <c r="X45" s="1" t="s">
        <v>22</v>
      </c>
      <c r="Y45">
        <f t="shared" ref="Y45:Y51" si="11">U45*W45</f>
        <v>1300</v>
      </c>
    </row>
    <row r="46" spans="1:25" x14ac:dyDescent="0.15">
      <c r="B46">
        <v>16</v>
      </c>
      <c r="C46" s="1" t="s">
        <v>20</v>
      </c>
      <c r="D46">
        <v>20</v>
      </c>
      <c r="E46">
        <f t="shared" si="8"/>
        <v>5</v>
      </c>
      <c r="G46">
        <v>200</v>
      </c>
      <c r="H46" s="1" t="s">
        <v>21</v>
      </c>
      <c r="I46">
        <f>IF($B$31&lt;計算基礎!B46,0,IF($B$31&gt;計算基礎!D46,E46,$B$31-D45))</f>
        <v>5</v>
      </c>
      <c r="J46" s="1" t="s">
        <v>22</v>
      </c>
      <c r="K46">
        <f t="shared" si="9"/>
        <v>1000</v>
      </c>
      <c r="P46">
        <v>21</v>
      </c>
      <c r="Q46" s="1" t="s">
        <v>20</v>
      </c>
      <c r="R46">
        <v>30</v>
      </c>
      <c r="S46">
        <f t="shared" si="10"/>
        <v>10</v>
      </c>
      <c r="U46">
        <v>160</v>
      </c>
      <c r="V46" s="1" t="s">
        <v>21</v>
      </c>
      <c r="W46">
        <f>IF(P31&lt;計算基礎!P46,0,IF(P31&gt;計算基礎!R46,S46,P31-R45))</f>
        <v>1</v>
      </c>
      <c r="X46" s="1" t="s">
        <v>22</v>
      </c>
      <c r="Y46">
        <f t="shared" si="11"/>
        <v>160</v>
      </c>
    </row>
    <row r="47" spans="1:25" x14ac:dyDescent="0.15">
      <c r="B47">
        <v>21</v>
      </c>
      <c r="C47" s="1" t="s">
        <v>20</v>
      </c>
      <c r="D47">
        <v>30</v>
      </c>
      <c r="E47">
        <f t="shared" si="8"/>
        <v>10</v>
      </c>
      <c r="G47">
        <v>250</v>
      </c>
      <c r="H47" s="1" t="s">
        <v>21</v>
      </c>
      <c r="I47">
        <f>IF($B$31&lt;計算基礎!B47,0,IF($B$31&gt;計算基礎!D47,E47,$B$31-D46))</f>
        <v>1</v>
      </c>
      <c r="J47" s="1" t="s">
        <v>22</v>
      </c>
      <c r="K47">
        <f t="shared" si="9"/>
        <v>250</v>
      </c>
      <c r="P47">
        <v>31</v>
      </c>
      <c r="Q47" s="1" t="s">
        <v>20</v>
      </c>
      <c r="R47">
        <v>40</v>
      </c>
      <c r="S47">
        <f t="shared" si="10"/>
        <v>10</v>
      </c>
      <c r="U47">
        <v>190</v>
      </c>
      <c r="V47" s="1" t="s">
        <v>21</v>
      </c>
      <c r="W47">
        <f>IF(P31&lt;計算基礎!P47,0,IF(P31&gt;計算基礎!R47,S47,P31-R46))</f>
        <v>0</v>
      </c>
      <c r="X47" s="1" t="s">
        <v>22</v>
      </c>
      <c r="Y47">
        <f t="shared" si="11"/>
        <v>0</v>
      </c>
    </row>
    <row r="48" spans="1:25" x14ac:dyDescent="0.15">
      <c r="B48">
        <v>31</v>
      </c>
      <c r="C48" s="1" t="s">
        <v>20</v>
      </c>
      <c r="D48">
        <v>40</v>
      </c>
      <c r="E48">
        <f t="shared" si="8"/>
        <v>10</v>
      </c>
      <c r="G48">
        <v>270</v>
      </c>
      <c r="H48" s="1" t="s">
        <v>21</v>
      </c>
      <c r="I48">
        <f>IF($B$31&lt;計算基礎!B48,0,IF($B$31&gt;計算基礎!D48,E48,$B$31-D47))</f>
        <v>0</v>
      </c>
      <c r="J48" s="1" t="s">
        <v>22</v>
      </c>
      <c r="K48">
        <f t="shared" si="9"/>
        <v>0</v>
      </c>
      <c r="P48">
        <v>41</v>
      </c>
      <c r="Q48" s="1" t="s">
        <v>20</v>
      </c>
      <c r="R48">
        <v>50</v>
      </c>
      <c r="S48">
        <f t="shared" si="10"/>
        <v>10</v>
      </c>
      <c r="U48">
        <v>220</v>
      </c>
      <c r="V48" s="1" t="s">
        <v>21</v>
      </c>
      <c r="W48">
        <f>IF(P31&lt;計算基礎!P48,0,IF(P31&gt;計算基礎!R48,S48,P31-R47))</f>
        <v>0</v>
      </c>
      <c r="X48" s="1" t="s">
        <v>22</v>
      </c>
      <c r="Y48">
        <f t="shared" si="11"/>
        <v>0</v>
      </c>
    </row>
    <row r="49" spans="2:25" x14ac:dyDescent="0.15">
      <c r="B49">
        <v>41</v>
      </c>
      <c r="C49" s="1" t="s">
        <v>20</v>
      </c>
      <c r="D49">
        <v>50</v>
      </c>
      <c r="E49">
        <f t="shared" si="8"/>
        <v>10</v>
      </c>
      <c r="G49">
        <v>320</v>
      </c>
      <c r="H49" s="1" t="s">
        <v>21</v>
      </c>
      <c r="I49">
        <f>IF($B$31&lt;計算基礎!B49,0,IF($B$31&gt;計算基礎!D49,E49,$B$31-D48))</f>
        <v>0</v>
      </c>
      <c r="J49" s="1" t="s">
        <v>22</v>
      </c>
      <c r="K49">
        <f t="shared" si="9"/>
        <v>0</v>
      </c>
      <c r="P49">
        <v>51</v>
      </c>
      <c r="Q49" s="1" t="s">
        <v>20</v>
      </c>
      <c r="R49">
        <v>100</v>
      </c>
      <c r="S49">
        <f t="shared" si="10"/>
        <v>50</v>
      </c>
      <c r="U49">
        <v>250</v>
      </c>
      <c r="V49" s="1" t="s">
        <v>21</v>
      </c>
      <c r="W49">
        <f>IF(P31&lt;計算基礎!P49,0,IF(P31&gt;計算基礎!R49,S49,P31-R48))</f>
        <v>0</v>
      </c>
      <c r="X49" s="1" t="s">
        <v>22</v>
      </c>
      <c r="Y49">
        <f t="shared" si="11"/>
        <v>0</v>
      </c>
    </row>
    <row r="50" spans="2:25" x14ac:dyDescent="0.15">
      <c r="B50">
        <v>51</v>
      </c>
      <c r="C50" s="1" t="s">
        <v>20</v>
      </c>
      <c r="D50">
        <v>100</v>
      </c>
      <c r="E50">
        <f t="shared" si="8"/>
        <v>50</v>
      </c>
      <c r="G50">
        <v>340</v>
      </c>
      <c r="H50" s="1" t="s">
        <v>21</v>
      </c>
      <c r="I50">
        <f>IF($B$31&lt;計算基礎!B50,0,IF($B$31&gt;計算基礎!D50,E50,$B$31-D49))</f>
        <v>0</v>
      </c>
      <c r="J50" s="1" t="s">
        <v>22</v>
      </c>
      <c r="K50">
        <f t="shared" si="9"/>
        <v>0</v>
      </c>
      <c r="P50">
        <v>101</v>
      </c>
      <c r="Q50" s="1" t="s">
        <v>20</v>
      </c>
      <c r="R50">
        <v>500</v>
      </c>
      <c r="S50">
        <f t="shared" si="10"/>
        <v>400</v>
      </c>
      <c r="U50">
        <v>280</v>
      </c>
      <c r="V50" s="1" t="s">
        <v>21</v>
      </c>
      <c r="W50">
        <f>IF(P31&lt;計算基礎!P50,0,IF(P31&gt;計算基礎!R50,S50,P31-R49))</f>
        <v>0</v>
      </c>
      <c r="X50" s="1" t="s">
        <v>22</v>
      </c>
      <c r="Y50">
        <f t="shared" si="11"/>
        <v>0</v>
      </c>
    </row>
    <row r="51" spans="2:25" x14ac:dyDescent="0.15">
      <c r="B51">
        <v>101</v>
      </c>
      <c r="C51" s="1" t="s">
        <v>20</v>
      </c>
      <c r="G51">
        <v>370</v>
      </c>
      <c r="H51" s="1" t="s">
        <v>21</v>
      </c>
      <c r="I51">
        <f>IF($B$31&lt;計算基礎!B51,0,$B$31-D50)</f>
        <v>0</v>
      </c>
      <c r="J51" s="1" t="s">
        <v>22</v>
      </c>
      <c r="K51">
        <f t="shared" si="9"/>
        <v>0</v>
      </c>
      <c r="P51">
        <v>501</v>
      </c>
      <c r="Q51" s="1" t="s">
        <v>20</v>
      </c>
      <c r="U51">
        <v>310</v>
      </c>
      <c r="V51" s="1" t="s">
        <v>21</v>
      </c>
      <c r="W51">
        <f>IF(P31&lt;計算基礎!P51,0,P31-R50)</f>
        <v>0</v>
      </c>
      <c r="X51" s="1" t="s">
        <v>22</v>
      </c>
      <c r="Y51">
        <f t="shared" si="11"/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上下水道料金計算シート</vt:lpstr>
      <vt:lpstr>計算基礎</vt:lpstr>
      <vt:lpstr>上下水道料金計算シート!Print_Area</vt:lpstr>
      <vt:lpstr>使用水量</vt:lpstr>
      <vt:lpstr>集合世帯数</vt:lpstr>
    </vt:vector>
  </TitlesOfParts>
  <Company>太宰府市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太宰府市</dc:creator>
  <cp:lastModifiedBy>重松　孝弘</cp:lastModifiedBy>
  <cp:lastPrinted>2023-01-31T10:08:13Z</cp:lastPrinted>
  <dcterms:created xsi:type="dcterms:W3CDTF">1998-07-18T00:23:46Z</dcterms:created>
  <dcterms:modified xsi:type="dcterms:W3CDTF">2023-01-31T10:08:39Z</dcterms:modified>
</cp:coreProperties>
</file>