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zi-profile2101\inetredirect$\707\Downloads\"/>
    </mc:Choice>
  </mc:AlternateContent>
  <bookViews>
    <workbookView xWindow="0" yWindow="0" windowWidth="28800" windowHeight="12240"/>
  </bookViews>
  <sheets>
    <sheet name="自動計算" sheetId="1" r:id="rId1"/>
    <sheet name="料金表" sheetId="2" r:id="rId2"/>
  </sheets>
  <calcPr calcId="162913"/>
</workbook>
</file>

<file path=xl/calcChain.xml><?xml version="1.0" encoding="utf-8"?>
<calcChain xmlns="http://schemas.openxmlformats.org/spreadsheetml/2006/main">
  <c r="AN16" i="1" l="1"/>
  <c r="P23" i="1"/>
  <c r="K23" i="1"/>
  <c r="AG23" i="1"/>
  <c r="P24" i="1"/>
  <c r="K24" i="1"/>
  <c r="P22" i="1"/>
  <c r="K22" i="1"/>
  <c r="AG22" i="1"/>
  <c r="P21" i="1"/>
  <c r="K21" i="1"/>
  <c r="AG21" i="1"/>
  <c r="P20" i="1"/>
  <c r="K20" i="1"/>
  <c r="AG20" i="1"/>
  <c r="P17" i="1"/>
  <c r="K17" i="1"/>
  <c r="AG17" i="1"/>
  <c r="P19" i="1"/>
  <c r="K19" i="1"/>
  <c r="AG19" i="1"/>
  <c r="AG24" i="1"/>
  <c r="P18" i="1"/>
  <c r="L12" i="1"/>
  <c r="AC12" i="1"/>
  <c r="P37" i="1" s="1"/>
  <c r="AG36" i="1"/>
  <c r="AG35" i="1"/>
  <c r="AG34" i="1"/>
  <c r="AG33" i="1"/>
  <c r="AG32" i="1"/>
  <c r="AG31" i="1"/>
  <c r="AG30" i="1"/>
  <c r="AN25" i="1"/>
  <c r="K18" i="1"/>
  <c r="AG18" i="1"/>
  <c r="AN29" i="1"/>
  <c r="AG37" i="1"/>
  <c r="AA20" i="1" l="1"/>
  <c r="AN20" i="1" s="1"/>
  <c r="AA24" i="1"/>
  <c r="AN24" i="1" s="1"/>
  <c r="AA19" i="1"/>
  <c r="AN19" i="1" s="1"/>
  <c r="AA23" i="1"/>
  <c r="AN23" i="1" s="1"/>
  <c r="AA22" i="1"/>
  <c r="AN22" i="1" s="1"/>
  <c r="AA18" i="1"/>
  <c r="AN18" i="1" s="1"/>
  <c r="AA21" i="1"/>
  <c r="AN21" i="1" s="1"/>
  <c r="AA17" i="1"/>
  <c r="AN17" i="1" s="1"/>
  <c r="K35" i="1"/>
  <c r="P35" i="1"/>
  <c r="K31" i="1"/>
  <c r="P36" i="1"/>
  <c r="K33" i="1"/>
  <c r="K37" i="1"/>
  <c r="AA37" i="1" s="1"/>
  <c r="AN37" i="1" s="1"/>
  <c r="P31" i="1"/>
  <c r="P33" i="1"/>
  <c r="P34" i="1"/>
  <c r="P32" i="1"/>
  <c r="P30" i="1"/>
  <c r="K36" i="1"/>
  <c r="K32" i="1"/>
  <c r="K30" i="1"/>
  <c r="K34" i="1"/>
  <c r="AN26" i="1" l="1"/>
  <c r="K11" i="1" s="1"/>
  <c r="AA35" i="1"/>
  <c r="AN35" i="1" s="1"/>
  <c r="AA31" i="1"/>
  <c r="AN31" i="1" s="1"/>
  <c r="AA33" i="1"/>
  <c r="AN33" i="1" s="1"/>
  <c r="AA36" i="1"/>
  <c r="AN36" i="1" s="1"/>
  <c r="AA30" i="1"/>
  <c r="AN30" i="1" s="1"/>
  <c r="AA34" i="1"/>
  <c r="AN34" i="1" s="1"/>
  <c r="AA32" i="1"/>
  <c r="AN32" i="1" s="1"/>
  <c r="AN38" i="1" l="1"/>
  <c r="AB11" i="1" s="1"/>
  <c r="AQ11" i="1" s="1"/>
</calcChain>
</file>

<file path=xl/sharedStrings.xml><?xml version="1.0" encoding="utf-8"?>
<sst xmlns="http://schemas.openxmlformats.org/spreadsheetml/2006/main" count="140" uniqueCount="55">
  <si>
    <t>上下水道料金の自動計算表</t>
    <rPh sb="0" eb="2">
      <t>ジョウゲ</t>
    </rPh>
    <rPh sb="2" eb="4">
      <t>スイドウ</t>
    </rPh>
    <rPh sb="4" eb="6">
      <t>リョウキン</t>
    </rPh>
    <rPh sb="7" eb="9">
      <t>ジドウ</t>
    </rPh>
    <rPh sb="9" eb="11">
      <t>ケイサン</t>
    </rPh>
    <rPh sb="11" eb="12">
      <t>ヒョウ</t>
    </rPh>
    <phoneticPr fontId="2"/>
  </si>
  <si>
    <t>水道料金</t>
    <rPh sb="0" eb="2">
      <t>スイドウ</t>
    </rPh>
    <rPh sb="2" eb="4">
      <t>リョウキン</t>
    </rPh>
    <phoneticPr fontId="2"/>
  </si>
  <si>
    <t>基本料金</t>
    <rPh sb="0" eb="2">
      <t>キホン</t>
    </rPh>
    <rPh sb="2" eb="4">
      <t>リョウキン</t>
    </rPh>
    <phoneticPr fontId="2"/>
  </si>
  <si>
    <t>超過料金</t>
    <rPh sb="0" eb="2">
      <t>チョウカ</t>
    </rPh>
    <rPh sb="2" eb="4">
      <t>リョウキン</t>
    </rPh>
    <phoneticPr fontId="2"/>
  </si>
  <si>
    <t>㎥までの間の</t>
  </si>
  <si>
    <t>～</t>
  </si>
  <si>
    <t>×</t>
  </si>
  <si>
    <t>=</t>
  </si>
  <si>
    <t>メーター使用料</t>
    <rPh sb="4" eb="6">
      <t>シヨウ</t>
    </rPh>
    <rPh sb="6" eb="7">
      <t>リョウ</t>
    </rPh>
    <phoneticPr fontId="2"/>
  </si>
  <si>
    <t>水道料金表</t>
    <rPh sb="0" eb="2">
      <t>スイドウ</t>
    </rPh>
    <rPh sb="2" eb="4">
      <t>リョウキン</t>
    </rPh>
    <rPh sb="4" eb="5">
      <t>ヒョウ</t>
    </rPh>
    <phoneticPr fontId="2"/>
  </si>
  <si>
    <t>用途</t>
    <rPh sb="0" eb="2">
      <t>ヨウト</t>
    </rPh>
    <phoneticPr fontId="2"/>
  </si>
  <si>
    <t>水量</t>
    <rPh sb="0" eb="2">
      <t>スイリョウ</t>
    </rPh>
    <phoneticPr fontId="2"/>
  </si>
  <si>
    <t>料金</t>
    <rPh sb="0" eb="2">
      <t>リョウキン</t>
    </rPh>
    <phoneticPr fontId="2"/>
  </si>
  <si>
    <t>0㎥～5㎥</t>
    <phoneticPr fontId="2"/>
  </si>
  <si>
    <t>超過料金（1㎥あたり）</t>
    <rPh sb="0" eb="2">
      <t>チョウカ</t>
    </rPh>
    <rPh sb="2" eb="4">
      <t>リョウキン</t>
    </rPh>
    <phoneticPr fontId="2"/>
  </si>
  <si>
    <t>～</t>
    <phoneticPr fontId="2"/>
  </si>
  <si>
    <t>0㎥～5㎥</t>
    <phoneticPr fontId="2"/>
  </si>
  <si>
    <t>家事用</t>
    <rPh sb="0" eb="3">
      <t>カジヨウ</t>
    </rPh>
    <phoneticPr fontId="2"/>
  </si>
  <si>
    <t>事業用</t>
    <rPh sb="0" eb="3">
      <t>ジギョウヨウ</t>
    </rPh>
    <phoneticPr fontId="2"/>
  </si>
  <si>
    <t>臨時用</t>
    <rPh sb="0" eb="2">
      <t>リンジ</t>
    </rPh>
    <rPh sb="2" eb="3">
      <t>ヨウ</t>
    </rPh>
    <phoneticPr fontId="2"/>
  </si>
  <si>
    <t>なし</t>
    <phoneticPr fontId="2"/>
  </si>
  <si>
    <t>メーター使用料（１ヶ月あたり）</t>
    <rPh sb="4" eb="6">
      <t>シヨウ</t>
    </rPh>
    <rPh sb="6" eb="7">
      <t>リョウ</t>
    </rPh>
    <rPh sb="10" eb="11">
      <t>ゲツ</t>
    </rPh>
    <phoneticPr fontId="2"/>
  </si>
  <si>
    <t>口径</t>
    <rPh sb="0" eb="2">
      <t>コウケイ</t>
    </rPh>
    <phoneticPr fontId="2"/>
  </si>
  <si>
    <t>25㎜以下</t>
    <rPh sb="3" eb="5">
      <t>イカ</t>
    </rPh>
    <phoneticPr fontId="2"/>
  </si>
  <si>
    <t>40㎜以下</t>
    <rPh sb="3" eb="5">
      <t>イカ</t>
    </rPh>
    <phoneticPr fontId="2"/>
  </si>
  <si>
    <t>使用料</t>
    <rPh sb="0" eb="2">
      <t>シヨウ</t>
    </rPh>
    <rPh sb="2" eb="3">
      <t>リョウ</t>
    </rPh>
    <phoneticPr fontId="2"/>
  </si>
  <si>
    <t>50㎜以下</t>
    <rPh sb="3" eb="5">
      <t>イカ</t>
    </rPh>
    <phoneticPr fontId="2"/>
  </si>
  <si>
    <t>75㎜以下</t>
    <rPh sb="3" eb="5">
      <t>イカ</t>
    </rPh>
    <phoneticPr fontId="2"/>
  </si>
  <si>
    <t>100㎜以下</t>
    <rPh sb="4" eb="6">
      <t>イカ</t>
    </rPh>
    <phoneticPr fontId="2"/>
  </si>
  <si>
    <t>（税込み）</t>
    <rPh sb="1" eb="3">
      <t>ゼイコ</t>
    </rPh>
    <phoneticPr fontId="2"/>
  </si>
  <si>
    <t>下水道使用料</t>
    <rPh sb="0" eb="3">
      <t>ゲスイドウ</t>
    </rPh>
    <rPh sb="3" eb="5">
      <t>シヨウ</t>
    </rPh>
    <rPh sb="5" eb="6">
      <t>リョウ</t>
    </rPh>
    <phoneticPr fontId="2"/>
  </si>
  <si>
    <t>基本使用料</t>
    <rPh sb="0" eb="2">
      <t>キホン</t>
    </rPh>
    <rPh sb="2" eb="4">
      <t>シヨウ</t>
    </rPh>
    <rPh sb="4" eb="5">
      <t>リョウ</t>
    </rPh>
    <phoneticPr fontId="2"/>
  </si>
  <si>
    <t>排出汚水量</t>
    <rPh sb="0" eb="2">
      <t>ハイシュツ</t>
    </rPh>
    <rPh sb="2" eb="4">
      <t>オスイ</t>
    </rPh>
    <rPh sb="4" eb="5">
      <t>リョウ</t>
    </rPh>
    <phoneticPr fontId="2"/>
  </si>
  <si>
    <t>従量使用料
（1㎥あたり）</t>
    <rPh sb="0" eb="2">
      <t>ジュウリョウ</t>
    </rPh>
    <rPh sb="2" eb="4">
      <t>シヨウ</t>
    </rPh>
    <rPh sb="4" eb="5">
      <t>リョウ</t>
    </rPh>
    <phoneticPr fontId="2"/>
  </si>
  <si>
    <t>下水道料金</t>
    <rPh sb="0" eb="3">
      <t>ゲスイドウ</t>
    </rPh>
    <rPh sb="3" eb="5">
      <t>リョウキン</t>
    </rPh>
    <phoneticPr fontId="2"/>
  </si>
  <si>
    <t>内訳</t>
    <rPh sb="0" eb="2">
      <t>ウチワケ</t>
    </rPh>
    <phoneticPr fontId="2"/>
  </si>
  <si>
    <t>合計（1円未満は切り捨て）</t>
    <rPh sb="0" eb="2">
      <t>ゴウケイ</t>
    </rPh>
    <rPh sb="4" eb="5">
      <t>エン</t>
    </rPh>
    <rPh sb="5" eb="7">
      <t>ミマン</t>
    </rPh>
    <rPh sb="8" eb="9">
      <t>キ</t>
    </rPh>
    <rPh sb="10" eb="11">
      <t>シャ</t>
    </rPh>
    <phoneticPr fontId="2"/>
  </si>
  <si>
    <t>水道の種類を入力してください</t>
    <rPh sb="0" eb="2">
      <t>スイドウ</t>
    </rPh>
    <rPh sb="3" eb="5">
      <t>シュルイ</t>
    </rPh>
    <rPh sb="6" eb="8">
      <t>ニュウリョク</t>
    </rPh>
    <phoneticPr fontId="2"/>
  </si>
  <si>
    <t>㎜</t>
    <phoneticPr fontId="2"/>
  </si>
  <si>
    <t>㎥</t>
    <phoneticPr fontId="2"/>
  </si>
  <si>
    <t>用途を入力してください</t>
    <rPh sb="0" eb="2">
      <t>ヨウト</t>
    </rPh>
    <rPh sb="3" eb="5">
      <t>ニュウリョク</t>
    </rPh>
    <phoneticPr fontId="2"/>
  </si>
  <si>
    <t>メーターの口径を入力してください</t>
    <rPh sb="8" eb="10">
      <t>ニュウリョク</t>
    </rPh>
    <phoneticPr fontId="2"/>
  </si>
  <si>
    <t>世帯人数を入力してください</t>
    <rPh sb="0" eb="2">
      <t>セタイ</t>
    </rPh>
    <rPh sb="2" eb="4">
      <t>ニンズウ</t>
    </rPh>
    <rPh sb="5" eb="7">
      <t>ニュウリョク</t>
    </rPh>
    <phoneticPr fontId="2"/>
  </si>
  <si>
    <t>人</t>
    <rPh sb="0" eb="1">
      <t>ニン</t>
    </rPh>
    <phoneticPr fontId="2"/>
  </si>
  <si>
    <t>（排出汚水量</t>
    <rPh sb="1" eb="3">
      <t>ハイシュツ</t>
    </rPh>
    <rPh sb="3" eb="5">
      <t>オスイ</t>
    </rPh>
    <rPh sb="5" eb="6">
      <t>リョウ</t>
    </rPh>
    <phoneticPr fontId="2"/>
  </si>
  <si>
    <t>㎥）</t>
    <phoneticPr fontId="2"/>
  </si>
  <si>
    <t>市水道のみ</t>
  </si>
  <si>
    <t>㎥）</t>
    <phoneticPr fontId="2"/>
  </si>
  <si>
    <t>（使用水量</t>
    <rPh sb="1" eb="3">
      <t>シヨウ</t>
    </rPh>
    <rPh sb="3" eb="4">
      <t>ミズ</t>
    </rPh>
    <rPh sb="4" eb="5">
      <t>リョウ</t>
    </rPh>
    <phoneticPr fontId="2"/>
  </si>
  <si>
    <t>家事用</t>
  </si>
  <si>
    <t>下水道使用料</t>
    <rPh sb="0" eb="1">
      <t>ゲ</t>
    </rPh>
    <rPh sb="1" eb="3">
      <t>スイドウ</t>
    </rPh>
    <rPh sb="3" eb="5">
      <t>シヨウ</t>
    </rPh>
    <phoneticPr fontId="2"/>
  </si>
  <si>
    <t>従量使用料</t>
    <rPh sb="0" eb="2">
      <t>ジュウリョウ</t>
    </rPh>
    <rPh sb="2" eb="5">
      <t>シヨウリョウ</t>
    </rPh>
    <phoneticPr fontId="2"/>
  </si>
  <si>
    <t>1か月の使用水量を入力してください</t>
    <rPh sb="2" eb="3">
      <t>ゲツ</t>
    </rPh>
    <rPh sb="4" eb="6">
      <t>シヨウ</t>
    </rPh>
    <rPh sb="6" eb="7">
      <t>ミズ</t>
    </rPh>
    <rPh sb="7" eb="8">
      <t>リョウ</t>
    </rPh>
    <rPh sb="9" eb="11">
      <t>ニュウリョク</t>
    </rPh>
    <phoneticPr fontId="2"/>
  </si>
  <si>
    <t>合計</t>
    <phoneticPr fontId="2"/>
  </si>
  <si>
    <t>13㎜以下</t>
    <rPh sb="3" eb="5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</si>
</sst>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㎥&quot;"/>
    <numFmt numFmtId="177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177" fontId="0" fillId="0" borderId="0" xfId="1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7" fontId="0" fillId="0" borderId="8" xfId="1" applyNumberFormat="1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justifyLastLine="1"/>
    </xf>
    <xf numFmtId="0" fontId="1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177" fontId="0" fillId="0" borderId="0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Font="1" applyFill="1" applyBorder="1" applyAlignment="1">
      <alignment vertical="center"/>
    </xf>
    <xf numFmtId="177" fontId="9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7" fontId="0" fillId="0" borderId="0" xfId="1" applyNumberFormat="1" applyFont="1" applyBorder="1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177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right" vertical="center" shrinkToFit="1"/>
    </xf>
    <xf numFmtId="0" fontId="0" fillId="0" borderId="0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distributed" vertical="center"/>
    </xf>
    <xf numFmtId="177" fontId="9" fillId="0" borderId="0" xfId="0" applyNumberFormat="1" applyFont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0" fillId="0" borderId="14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76" fontId="0" fillId="0" borderId="25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177" fontId="0" fillId="0" borderId="16" xfId="0" applyNumberFormat="1" applyBorder="1" applyAlignment="1">
      <alignment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7" fontId="0" fillId="0" borderId="28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7" fontId="0" fillId="0" borderId="20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177" fontId="0" fillId="0" borderId="26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2:BB40"/>
  <sheetViews>
    <sheetView tabSelected="1" workbookViewId="0">
      <selection activeCell="BT21" sqref="BT21"/>
    </sheetView>
  </sheetViews>
  <sheetFormatPr defaultColWidth="1.625" defaultRowHeight="20.100000000000001" customHeight="1" x14ac:dyDescent="0.15"/>
  <sheetData>
    <row r="2" spans="3:54" ht="20.100000000000001" customHeight="1" x14ac:dyDescent="0.15">
      <c r="C2" s="16" t="s">
        <v>0</v>
      </c>
      <c r="E2" s="3"/>
    </row>
    <row r="3" spans="3:54" ht="11.25" customHeight="1" x14ac:dyDescent="0.15"/>
    <row r="4" spans="3:54" ht="20.100000000000001" customHeight="1" x14ac:dyDescent="0.15">
      <c r="C4" s="25" t="s">
        <v>37</v>
      </c>
      <c r="E4" s="25"/>
      <c r="F4" s="25"/>
      <c r="G4" s="25"/>
      <c r="H4" s="25"/>
      <c r="I4" s="25"/>
      <c r="J4" s="25"/>
      <c r="K4" s="25"/>
      <c r="W4" s="52" t="s">
        <v>46</v>
      </c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4"/>
      <c r="AJ4" s="24"/>
      <c r="AK4" s="24"/>
      <c r="AL4" s="24"/>
      <c r="AM4" s="24"/>
    </row>
    <row r="5" spans="3:54" ht="20.100000000000001" customHeight="1" x14ac:dyDescent="0.15">
      <c r="C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</row>
    <row r="6" spans="3:54" ht="20.100000000000001" customHeight="1" x14ac:dyDescent="0.15">
      <c r="C6" s="25" t="s">
        <v>40</v>
      </c>
      <c r="E6" s="25"/>
      <c r="F6" s="25"/>
      <c r="G6" s="25"/>
      <c r="W6" s="55" t="s">
        <v>49</v>
      </c>
      <c r="X6" s="55"/>
      <c r="Y6" s="55"/>
      <c r="Z6" s="55"/>
      <c r="AA6" s="55"/>
      <c r="AB6" s="24"/>
    </row>
    <row r="7" spans="3:54" ht="20.100000000000001" customHeight="1" x14ac:dyDescent="0.15">
      <c r="C7" s="30" t="s">
        <v>52</v>
      </c>
      <c r="E7" s="26"/>
      <c r="F7" s="26"/>
      <c r="G7" s="26"/>
      <c r="H7" s="26"/>
      <c r="I7" s="26"/>
      <c r="J7" s="26"/>
      <c r="R7" s="24"/>
      <c r="S7" s="24"/>
      <c r="T7" s="24"/>
      <c r="U7" s="24"/>
      <c r="V7" s="24"/>
      <c r="W7" s="55">
        <v>20</v>
      </c>
      <c r="X7" s="55"/>
      <c r="Y7" s="55"/>
      <c r="Z7" s="55"/>
      <c r="AA7" s="55"/>
      <c r="AB7" s="24" t="s">
        <v>39</v>
      </c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</row>
    <row r="8" spans="3:54" ht="20.100000000000001" customHeight="1" x14ac:dyDescent="0.15">
      <c r="C8" s="26" t="s">
        <v>41</v>
      </c>
      <c r="E8" s="26"/>
      <c r="F8" s="26"/>
      <c r="G8" s="26"/>
      <c r="H8" s="26"/>
      <c r="I8" s="26"/>
      <c r="J8" s="26"/>
      <c r="K8" s="26"/>
      <c r="L8" s="26"/>
      <c r="T8" s="24"/>
      <c r="U8" s="24"/>
      <c r="V8" s="24"/>
      <c r="W8" s="55">
        <v>13</v>
      </c>
      <c r="X8" s="55"/>
      <c r="Y8" s="55"/>
      <c r="Z8" s="55"/>
      <c r="AA8" s="55"/>
      <c r="AB8" s="24" t="s">
        <v>38</v>
      </c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</row>
    <row r="9" spans="3:54" ht="20.100000000000001" customHeight="1" x14ac:dyDescent="0.15">
      <c r="C9" s="24" t="s">
        <v>42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55"/>
      <c r="X9" s="55"/>
      <c r="Y9" s="55"/>
      <c r="Z9" s="55"/>
      <c r="AA9" s="55"/>
      <c r="AB9" s="24" t="s">
        <v>43</v>
      </c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3:54" ht="20.100000000000001" customHeight="1" x14ac:dyDescent="0.15"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</row>
    <row r="11" spans="3:54" s="18" customFormat="1" ht="20.100000000000001" customHeight="1" x14ac:dyDescent="0.15">
      <c r="D11" s="17" t="s">
        <v>1</v>
      </c>
      <c r="E11" s="27"/>
      <c r="F11" s="27"/>
      <c r="G11" s="27"/>
      <c r="H11" s="27"/>
      <c r="I11" s="27"/>
      <c r="J11" s="27"/>
      <c r="K11" s="58">
        <f>AN26</f>
        <v>3971</v>
      </c>
      <c r="L11" s="58"/>
      <c r="M11" s="58"/>
      <c r="N11" s="58"/>
      <c r="O11" s="58"/>
      <c r="P11" s="58"/>
      <c r="Q11" s="58"/>
      <c r="R11" s="58"/>
      <c r="S11" s="58"/>
      <c r="T11" s="19" t="s">
        <v>34</v>
      </c>
      <c r="AB11" s="59">
        <f>AN38</f>
        <v>2805</v>
      </c>
      <c r="AC11" s="59"/>
      <c r="AD11" s="59"/>
      <c r="AE11" s="59"/>
      <c r="AF11" s="59"/>
      <c r="AG11" s="59"/>
      <c r="AH11" s="59"/>
      <c r="AI11" s="59"/>
      <c r="AJ11" s="59"/>
      <c r="AK11" s="20"/>
      <c r="AM11" s="20" t="s">
        <v>53</v>
      </c>
      <c r="AO11" s="31"/>
      <c r="AP11" s="31"/>
      <c r="AQ11" s="51">
        <f>K11+AB11</f>
        <v>6776</v>
      </c>
      <c r="AR11" s="51"/>
      <c r="AS11" s="51"/>
      <c r="AT11" s="51"/>
      <c r="AU11" s="51"/>
      <c r="AV11" s="51"/>
      <c r="AW11" s="51"/>
      <c r="AX11" s="51"/>
      <c r="AY11" s="51"/>
    </row>
    <row r="12" spans="3:54" s="18" customFormat="1" ht="20.100000000000001" customHeight="1" x14ac:dyDescent="0.15">
      <c r="E12" s="17" t="s">
        <v>48</v>
      </c>
      <c r="F12" s="27"/>
      <c r="G12" s="27"/>
      <c r="H12" s="27"/>
      <c r="I12" s="27"/>
      <c r="J12" s="27"/>
      <c r="K12" s="22"/>
      <c r="L12" s="56">
        <f>IF(W4="井戸水のみ",0,W7)</f>
        <v>20</v>
      </c>
      <c r="M12" s="56"/>
      <c r="N12" s="56"/>
      <c r="O12" s="56"/>
      <c r="P12" s="56"/>
      <c r="Q12" s="32" t="s">
        <v>47</v>
      </c>
      <c r="U12" s="19" t="s">
        <v>44</v>
      </c>
      <c r="AC12" s="57">
        <f>IF(W4="市水道のみ",W7,IF(W4="井戸水のみ",W9*6,W7+(W9*3)))</f>
        <v>20</v>
      </c>
      <c r="AD12" s="57"/>
      <c r="AE12" s="57"/>
      <c r="AF12" s="57"/>
      <c r="AG12" s="57"/>
      <c r="AH12" s="33" t="s">
        <v>45</v>
      </c>
      <c r="AI12" s="23"/>
      <c r="AL12" s="20"/>
      <c r="AP12" s="21"/>
      <c r="AQ12" s="21"/>
      <c r="AR12" s="21"/>
      <c r="AS12" s="21"/>
      <c r="AT12" s="21"/>
      <c r="AU12" s="21"/>
      <c r="AV12" s="21"/>
    </row>
    <row r="13" spans="3:54" ht="11.25" customHeight="1" x14ac:dyDescent="0.15">
      <c r="C13" s="2"/>
      <c r="D13" s="2"/>
      <c r="E13" s="2"/>
      <c r="F13" s="2"/>
      <c r="G13" s="2"/>
      <c r="H13" s="2"/>
      <c r="I13" s="2"/>
      <c r="J13" s="2"/>
      <c r="K13" s="2"/>
      <c r="L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3:54" ht="20.100000000000001" customHeight="1" thickBot="1" x14ac:dyDescent="0.2">
      <c r="C14" s="2" t="s">
        <v>35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3:54" ht="20.100000000000001" customHeight="1" thickTop="1" x14ac:dyDescent="0.15">
      <c r="C15" s="6"/>
      <c r="D15" s="7" t="s">
        <v>1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9"/>
      <c r="BB15" s="2"/>
    </row>
    <row r="16" spans="3:54" ht="20.100000000000001" customHeight="1" x14ac:dyDescent="0.15">
      <c r="C16" s="10"/>
      <c r="D16" s="2" t="s">
        <v>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8"/>
      <c r="AH16" s="28"/>
      <c r="AI16" s="28"/>
      <c r="AJ16" s="28"/>
      <c r="AK16" s="28"/>
      <c r="AL16" s="28"/>
      <c r="AM16" s="28"/>
      <c r="AN16" s="34">
        <f>IF(W4="井戸水のみ","",IF(W6="家事用",料金表!N5,料金表!N9))</f>
        <v>935</v>
      </c>
      <c r="AO16" s="34"/>
      <c r="AP16" s="34"/>
      <c r="AQ16" s="34"/>
      <c r="AR16" s="34"/>
      <c r="AS16" s="34"/>
      <c r="AT16" s="34"/>
      <c r="AU16" s="34"/>
      <c r="AV16" s="2"/>
      <c r="AW16" s="2"/>
      <c r="AX16" s="2"/>
      <c r="AY16" s="2"/>
      <c r="AZ16" s="2"/>
      <c r="BA16" s="11"/>
    </row>
    <row r="17" spans="3:53" ht="20.100000000000001" customHeight="1" x14ac:dyDescent="0.15">
      <c r="C17" s="10"/>
      <c r="D17" s="2" t="s">
        <v>3</v>
      </c>
      <c r="E17" s="2"/>
      <c r="F17" s="2"/>
      <c r="G17" s="2"/>
      <c r="H17" s="2"/>
      <c r="I17" s="2"/>
      <c r="J17" s="2"/>
      <c r="K17" s="39" t="str">
        <f>IF($W$7&gt;5,"6","")</f>
        <v>6</v>
      </c>
      <c r="L17" s="39"/>
      <c r="M17" s="39"/>
      <c r="N17" s="39" t="s">
        <v>5</v>
      </c>
      <c r="O17" s="39"/>
      <c r="P17" s="39">
        <f>IF(AND($W$7&gt;=6,$W$7&lt;=10),$W$7,10)</f>
        <v>10</v>
      </c>
      <c r="Q17" s="39"/>
      <c r="R17" s="39"/>
      <c r="S17" s="37" t="s">
        <v>4</v>
      </c>
      <c r="T17" s="37"/>
      <c r="U17" s="37"/>
      <c r="V17" s="37"/>
      <c r="W17" s="37"/>
      <c r="X17" s="37"/>
      <c r="Y17" s="37"/>
      <c r="Z17" s="37"/>
      <c r="AA17" s="38">
        <f t="shared" ref="AA17:AA23" si="0">P17-K17+1</f>
        <v>5</v>
      </c>
      <c r="AB17" s="38"/>
      <c r="AC17" s="38"/>
      <c r="AD17" s="38"/>
      <c r="AE17" s="39" t="s">
        <v>6</v>
      </c>
      <c r="AF17" s="39"/>
      <c r="AG17" s="40">
        <f>料金表!AD5</f>
        <v>176</v>
      </c>
      <c r="AH17" s="40"/>
      <c r="AI17" s="40"/>
      <c r="AJ17" s="40"/>
      <c r="AK17" s="40"/>
      <c r="AL17" s="41" t="s">
        <v>7</v>
      </c>
      <c r="AM17" s="41"/>
      <c r="AN17" s="34">
        <f>IF(W4="井戸水のみ","",IF($W$7&lt;6,0,AA17*AG17))</f>
        <v>880</v>
      </c>
      <c r="AO17" s="34"/>
      <c r="AP17" s="34"/>
      <c r="AQ17" s="34"/>
      <c r="AR17" s="34"/>
      <c r="AS17" s="34"/>
      <c r="AT17" s="34"/>
      <c r="AU17" s="34"/>
      <c r="AV17" s="2"/>
      <c r="AW17" s="2"/>
      <c r="AX17" s="2"/>
      <c r="AY17" s="2"/>
      <c r="AZ17" s="2"/>
      <c r="BA17" s="11"/>
    </row>
    <row r="18" spans="3:53" ht="20.100000000000001" customHeight="1" x14ac:dyDescent="0.15">
      <c r="C18" s="10"/>
      <c r="D18" s="2"/>
      <c r="E18" s="2"/>
      <c r="F18" s="2"/>
      <c r="G18" s="2"/>
      <c r="H18" s="2"/>
      <c r="I18" s="2"/>
      <c r="J18" s="2"/>
      <c r="K18" s="39" t="str">
        <f>IF($W$7&gt;10,"11","")</f>
        <v>11</v>
      </c>
      <c r="L18" s="39"/>
      <c r="M18" s="39"/>
      <c r="N18" s="39" t="s">
        <v>5</v>
      </c>
      <c r="O18" s="39"/>
      <c r="P18" s="39">
        <f>IF(AND($W$7&gt;=11,$W$7&lt;=15),$W$7,15)</f>
        <v>15</v>
      </c>
      <c r="Q18" s="39"/>
      <c r="R18" s="39"/>
      <c r="S18" s="37" t="s">
        <v>4</v>
      </c>
      <c r="T18" s="37"/>
      <c r="U18" s="37"/>
      <c r="V18" s="37"/>
      <c r="W18" s="37"/>
      <c r="X18" s="37"/>
      <c r="Y18" s="37"/>
      <c r="Z18" s="37"/>
      <c r="AA18" s="38">
        <f t="shared" si="0"/>
        <v>5</v>
      </c>
      <c r="AB18" s="38"/>
      <c r="AC18" s="38"/>
      <c r="AD18" s="38"/>
      <c r="AE18" s="39" t="s">
        <v>6</v>
      </c>
      <c r="AF18" s="39"/>
      <c r="AG18" s="40">
        <f>料金表!AD6</f>
        <v>198</v>
      </c>
      <c r="AH18" s="40"/>
      <c r="AI18" s="40"/>
      <c r="AJ18" s="40"/>
      <c r="AK18" s="40"/>
      <c r="AL18" s="41" t="s">
        <v>7</v>
      </c>
      <c r="AM18" s="41"/>
      <c r="AN18" s="34">
        <f>IF(W4="井戸水のみ","",IF($W$7&lt;11,0,AA18*AG18))</f>
        <v>990</v>
      </c>
      <c r="AO18" s="34"/>
      <c r="AP18" s="34"/>
      <c r="AQ18" s="34"/>
      <c r="AR18" s="34"/>
      <c r="AS18" s="34"/>
      <c r="AT18" s="34"/>
      <c r="AU18" s="34"/>
      <c r="AV18" s="2"/>
      <c r="AW18" s="2"/>
      <c r="AX18" s="2"/>
      <c r="AY18" s="2"/>
      <c r="AZ18" s="2"/>
      <c r="BA18" s="11"/>
    </row>
    <row r="19" spans="3:53" ht="20.100000000000001" customHeight="1" x14ac:dyDescent="0.15">
      <c r="C19" s="10"/>
      <c r="D19" s="2"/>
      <c r="E19" s="2"/>
      <c r="F19" s="2"/>
      <c r="G19" s="2"/>
      <c r="H19" s="2"/>
      <c r="I19" s="2"/>
      <c r="J19" s="2"/>
      <c r="K19" s="39" t="str">
        <f>IF($W$7&gt;15,"16","")</f>
        <v>16</v>
      </c>
      <c r="L19" s="39"/>
      <c r="M19" s="39"/>
      <c r="N19" s="39" t="s">
        <v>5</v>
      </c>
      <c r="O19" s="39"/>
      <c r="P19" s="39">
        <f>IF(AND($W$7&gt;=16,$W$7&lt;=20),$W$7,20)</f>
        <v>20</v>
      </c>
      <c r="Q19" s="39"/>
      <c r="R19" s="39"/>
      <c r="S19" s="37" t="s">
        <v>4</v>
      </c>
      <c r="T19" s="37"/>
      <c r="U19" s="37"/>
      <c r="V19" s="37"/>
      <c r="W19" s="37"/>
      <c r="X19" s="37"/>
      <c r="Y19" s="37"/>
      <c r="Z19" s="37"/>
      <c r="AA19" s="38">
        <f t="shared" si="0"/>
        <v>5</v>
      </c>
      <c r="AB19" s="38"/>
      <c r="AC19" s="38"/>
      <c r="AD19" s="38"/>
      <c r="AE19" s="39" t="s">
        <v>6</v>
      </c>
      <c r="AF19" s="39"/>
      <c r="AG19" s="40">
        <f>料金表!AD7</f>
        <v>220</v>
      </c>
      <c r="AH19" s="40"/>
      <c r="AI19" s="40"/>
      <c r="AJ19" s="40"/>
      <c r="AK19" s="40"/>
      <c r="AL19" s="41" t="s">
        <v>7</v>
      </c>
      <c r="AM19" s="41"/>
      <c r="AN19" s="34">
        <f>IF(W4="井戸水のみ","",IF($W$7&lt;16,0,AA19*AG19))</f>
        <v>1100</v>
      </c>
      <c r="AO19" s="34"/>
      <c r="AP19" s="34"/>
      <c r="AQ19" s="34"/>
      <c r="AR19" s="34"/>
      <c r="AS19" s="34"/>
      <c r="AT19" s="34"/>
      <c r="AU19" s="34"/>
      <c r="AV19" s="2"/>
      <c r="AW19" s="2"/>
      <c r="AX19" s="2"/>
      <c r="AY19" s="2"/>
      <c r="AZ19" s="2"/>
      <c r="BA19" s="11"/>
    </row>
    <row r="20" spans="3:53" ht="20.100000000000001" customHeight="1" x14ac:dyDescent="0.15">
      <c r="C20" s="10"/>
      <c r="D20" s="2"/>
      <c r="E20" s="2"/>
      <c r="F20" s="2"/>
      <c r="G20" s="2"/>
      <c r="H20" s="2"/>
      <c r="I20" s="2"/>
      <c r="J20" s="2"/>
      <c r="K20" s="39" t="str">
        <f>IF($W$7&gt;20,"21","")</f>
        <v/>
      </c>
      <c r="L20" s="39"/>
      <c r="M20" s="39"/>
      <c r="N20" s="39" t="s">
        <v>5</v>
      </c>
      <c r="O20" s="39"/>
      <c r="P20" s="39">
        <f>IF(AND($W$7&gt;=21,$W$7&lt;=30),$W$7,30)</f>
        <v>30</v>
      </c>
      <c r="Q20" s="39"/>
      <c r="R20" s="39"/>
      <c r="S20" s="37" t="s">
        <v>4</v>
      </c>
      <c r="T20" s="37"/>
      <c r="U20" s="37"/>
      <c r="V20" s="37"/>
      <c r="W20" s="37"/>
      <c r="X20" s="37"/>
      <c r="Y20" s="37"/>
      <c r="Z20" s="37"/>
      <c r="AA20" s="38" t="e">
        <f t="shared" si="0"/>
        <v>#VALUE!</v>
      </c>
      <c r="AB20" s="38"/>
      <c r="AC20" s="38"/>
      <c r="AD20" s="38"/>
      <c r="AE20" s="39" t="s">
        <v>6</v>
      </c>
      <c r="AF20" s="39"/>
      <c r="AG20" s="40">
        <f>料金表!AD8</f>
        <v>275</v>
      </c>
      <c r="AH20" s="40"/>
      <c r="AI20" s="40"/>
      <c r="AJ20" s="40"/>
      <c r="AK20" s="40"/>
      <c r="AL20" s="41" t="s">
        <v>7</v>
      </c>
      <c r="AM20" s="41"/>
      <c r="AN20" s="34">
        <f>IF(W4="井戸水のみ","",IF($W$7&lt;21,0,AA20*AG20))</f>
        <v>0</v>
      </c>
      <c r="AO20" s="34"/>
      <c r="AP20" s="34"/>
      <c r="AQ20" s="34"/>
      <c r="AR20" s="34"/>
      <c r="AS20" s="34"/>
      <c r="AT20" s="34"/>
      <c r="AU20" s="34"/>
      <c r="AV20" s="2"/>
      <c r="AW20" s="2"/>
      <c r="AX20" s="2"/>
      <c r="AY20" s="2"/>
      <c r="AZ20" s="2"/>
      <c r="BA20" s="11"/>
    </row>
    <row r="21" spans="3:53" ht="20.100000000000001" customHeight="1" x14ac:dyDescent="0.15">
      <c r="C21" s="10"/>
      <c r="D21" s="2"/>
      <c r="E21" s="2"/>
      <c r="F21" s="2"/>
      <c r="G21" s="2"/>
      <c r="H21" s="2"/>
      <c r="I21" s="2"/>
      <c r="J21" s="2"/>
      <c r="K21" s="39" t="str">
        <f>IF($W$7&gt;30,"31","")</f>
        <v/>
      </c>
      <c r="L21" s="39"/>
      <c r="M21" s="39"/>
      <c r="N21" s="39" t="s">
        <v>5</v>
      </c>
      <c r="O21" s="39"/>
      <c r="P21" s="39">
        <f>IF(AND($W$7&gt;=31,$W$7&lt;=40),$W$7,40)</f>
        <v>40</v>
      </c>
      <c r="Q21" s="39"/>
      <c r="R21" s="39"/>
      <c r="S21" s="37" t="s">
        <v>4</v>
      </c>
      <c r="T21" s="37"/>
      <c r="U21" s="37"/>
      <c r="V21" s="37"/>
      <c r="W21" s="37"/>
      <c r="X21" s="37"/>
      <c r="Y21" s="37"/>
      <c r="Z21" s="37"/>
      <c r="AA21" s="38" t="e">
        <f t="shared" si="0"/>
        <v>#VALUE!</v>
      </c>
      <c r="AB21" s="38"/>
      <c r="AC21" s="38"/>
      <c r="AD21" s="38"/>
      <c r="AE21" s="39" t="s">
        <v>6</v>
      </c>
      <c r="AF21" s="39"/>
      <c r="AG21" s="40">
        <f>料金表!AD9</f>
        <v>297</v>
      </c>
      <c r="AH21" s="40"/>
      <c r="AI21" s="40"/>
      <c r="AJ21" s="40"/>
      <c r="AK21" s="40"/>
      <c r="AL21" s="41" t="s">
        <v>7</v>
      </c>
      <c r="AM21" s="41"/>
      <c r="AN21" s="34">
        <f>IF(W4="井戸水のみ","",IF($W$7&lt;31,0,AA21*AG21))</f>
        <v>0</v>
      </c>
      <c r="AO21" s="34"/>
      <c r="AP21" s="34"/>
      <c r="AQ21" s="34"/>
      <c r="AR21" s="34"/>
      <c r="AS21" s="34"/>
      <c r="AT21" s="34"/>
      <c r="AU21" s="34"/>
      <c r="AV21" s="2"/>
      <c r="AW21" s="2"/>
      <c r="AX21" s="2"/>
      <c r="AY21" s="2"/>
      <c r="AZ21" s="2"/>
      <c r="BA21" s="11"/>
    </row>
    <row r="22" spans="3:53" ht="20.100000000000001" customHeight="1" x14ac:dyDescent="0.15">
      <c r="C22" s="10"/>
      <c r="D22" s="2"/>
      <c r="E22" s="2"/>
      <c r="F22" s="2"/>
      <c r="G22" s="2"/>
      <c r="H22" s="2"/>
      <c r="I22" s="2"/>
      <c r="J22" s="2"/>
      <c r="K22" s="39" t="str">
        <f>IF($W$7&gt;40,"41","")</f>
        <v/>
      </c>
      <c r="L22" s="39"/>
      <c r="M22" s="39"/>
      <c r="N22" s="39" t="s">
        <v>5</v>
      </c>
      <c r="O22" s="39"/>
      <c r="P22" s="39">
        <f>IF(AND($W$7&gt;=41,$W$7&lt;=50),$W$7,50)</f>
        <v>50</v>
      </c>
      <c r="Q22" s="39"/>
      <c r="R22" s="39"/>
      <c r="S22" s="37" t="s">
        <v>4</v>
      </c>
      <c r="T22" s="37"/>
      <c r="U22" s="37"/>
      <c r="V22" s="37"/>
      <c r="W22" s="37"/>
      <c r="X22" s="37"/>
      <c r="Y22" s="37"/>
      <c r="Z22" s="37"/>
      <c r="AA22" s="38" t="e">
        <f t="shared" si="0"/>
        <v>#VALUE!</v>
      </c>
      <c r="AB22" s="38"/>
      <c r="AC22" s="38"/>
      <c r="AD22" s="38"/>
      <c r="AE22" s="39" t="s">
        <v>6</v>
      </c>
      <c r="AF22" s="39"/>
      <c r="AG22" s="40">
        <f>料金表!AD10</f>
        <v>352</v>
      </c>
      <c r="AH22" s="40"/>
      <c r="AI22" s="40"/>
      <c r="AJ22" s="40"/>
      <c r="AK22" s="40"/>
      <c r="AL22" s="41" t="s">
        <v>7</v>
      </c>
      <c r="AM22" s="41"/>
      <c r="AN22" s="34">
        <f>IF(W4="井戸水のみ","",IF($W$7&lt;41,0,AA22*AG22))</f>
        <v>0</v>
      </c>
      <c r="AO22" s="34"/>
      <c r="AP22" s="34"/>
      <c r="AQ22" s="34"/>
      <c r="AR22" s="34"/>
      <c r="AS22" s="34"/>
      <c r="AT22" s="34"/>
      <c r="AU22" s="34"/>
      <c r="AV22" s="2"/>
      <c r="AW22" s="2"/>
      <c r="AX22" s="2"/>
      <c r="AY22" s="2"/>
      <c r="AZ22" s="2"/>
      <c r="BA22" s="11"/>
    </row>
    <row r="23" spans="3:53" ht="20.100000000000001" customHeight="1" x14ac:dyDescent="0.15">
      <c r="C23" s="10"/>
      <c r="D23" s="2"/>
      <c r="E23" s="2"/>
      <c r="F23" s="2"/>
      <c r="G23" s="2"/>
      <c r="H23" s="2"/>
      <c r="I23" s="2"/>
      <c r="J23" s="2"/>
      <c r="K23" s="39" t="str">
        <f>IF($W$7&gt;50,"51","")</f>
        <v/>
      </c>
      <c r="L23" s="39"/>
      <c r="M23" s="39"/>
      <c r="N23" s="39" t="s">
        <v>5</v>
      </c>
      <c r="O23" s="39"/>
      <c r="P23" s="39">
        <f>IF(AND($W$7&gt;=51,$W$7&lt;=100),$W$7,100)</f>
        <v>100</v>
      </c>
      <c r="Q23" s="39"/>
      <c r="R23" s="39"/>
      <c r="S23" s="37" t="s">
        <v>4</v>
      </c>
      <c r="T23" s="37"/>
      <c r="U23" s="37"/>
      <c r="V23" s="37"/>
      <c r="W23" s="37"/>
      <c r="X23" s="37"/>
      <c r="Y23" s="37"/>
      <c r="Z23" s="37"/>
      <c r="AA23" s="38" t="e">
        <f t="shared" si="0"/>
        <v>#VALUE!</v>
      </c>
      <c r="AB23" s="38"/>
      <c r="AC23" s="38"/>
      <c r="AD23" s="38"/>
      <c r="AE23" s="39" t="s">
        <v>6</v>
      </c>
      <c r="AF23" s="39"/>
      <c r="AG23" s="40">
        <f>料金表!AD11</f>
        <v>374</v>
      </c>
      <c r="AH23" s="40"/>
      <c r="AI23" s="40"/>
      <c r="AJ23" s="40"/>
      <c r="AK23" s="40"/>
      <c r="AL23" s="41" t="s">
        <v>7</v>
      </c>
      <c r="AM23" s="41"/>
      <c r="AN23" s="34">
        <f>IF(W4="井戸水のみ","",IF($W$7&lt;51,0,AA23*AG23))</f>
        <v>0</v>
      </c>
      <c r="AO23" s="34"/>
      <c r="AP23" s="34"/>
      <c r="AQ23" s="34"/>
      <c r="AR23" s="34"/>
      <c r="AS23" s="34"/>
      <c r="AT23" s="34"/>
      <c r="AU23" s="34"/>
      <c r="AV23" s="2"/>
      <c r="AW23" s="2"/>
      <c r="AX23" s="2"/>
      <c r="AY23" s="2"/>
      <c r="AZ23" s="2"/>
      <c r="BA23" s="11"/>
    </row>
    <row r="24" spans="3:53" ht="20.100000000000001" customHeight="1" x14ac:dyDescent="0.15">
      <c r="C24" s="10"/>
      <c r="D24" s="2"/>
      <c r="E24" s="2"/>
      <c r="F24" s="2"/>
      <c r="G24" s="2"/>
      <c r="H24" s="2"/>
      <c r="I24" s="2"/>
      <c r="J24" s="2"/>
      <c r="K24" s="39" t="str">
        <f>IF($W$7&gt;100,"101","")</f>
        <v/>
      </c>
      <c r="L24" s="39"/>
      <c r="M24" s="39"/>
      <c r="N24" s="39" t="s">
        <v>5</v>
      </c>
      <c r="O24" s="39"/>
      <c r="P24" s="44" t="str">
        <f>IF($W$7&gt;100,$W$7,"")</f>
        <v/>
      </c>
      <c r="Q24" s="44"/>
      <c r="R24" s="44"/>
      <c r="S24" s="37" t="s">
        <v>4</v>
      </c>
      <c r="T24" s="37"/>
      <c r="U24" s="37"/>
      <c r="V24" s="37"/>
      <c r="W24" s="37"/>
      <c r="X24" s="37"/>
      <c r="Y24" s="37"/>
      <c r="Z24" s="37"/>
      <c r="AA24" s="43" t="e">
        <f>P24-K24+1</f>
        <v>#VALUE!</v>
      </c>
      <c r="AB24" s="43"/>
      <c r="AC24" s="43"/>
      <c r="AD24" s="43"/>
      <c r="AE24" s="39" t="s">
        <v>6</v>
      </c>
      <c r="AF24" s="39"/>
      <c r="AG24" s="40">
        <f>料金表!AD12</f>
        <v>407</v>
      </c>
      <c r="AH24" s="40"/>
      <c r="AI24" s="40"/>
      <c r="AJ24" s="40"/>
      <c r="AK24" s="40"/>
      <c r="AL24" s="41" t="s">
        <v>7</v>
      </c>
      <c r="AM24" s="41"/>
      <c r="AN24" s="34">
        <f>IF(W4="井戸水のみ","",IF($W$7&lt;101,0,AA24*AG24))</f>
        <v>0</v>
      </c>
      <c r="AO24" s="34"/>
      <c r="AP24" s="34"/>
      <c r="AQ24" s="34"/>
      <c r="AR24" s="34"/>
      <c r="AS24" s="34"/>
      <c r="AT24" s="34"/>
      <c r="AU24" s="34"/>
      <c r="AV24" s="2"/>
      <c r="AW24" s="2"/>
      <c r="AX24" s="2"/>
      <c r="AY24" s="2"/>
      <c r="AZ24" s="2"/>
      <c r="BA24" s="11"/>
    </row>
    <row r="25" spans="3:53" ht="20.100000000000001" customHeight="1" x14ac:dyDescent="0.15">
      <c r="C25" s="10"/>
      <c r="D25" s="1" t="s">
        <v>8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29"/>
      <c r="AH25" s="29"/>
      <c r="AI25" s="29"/>
      <c r="AJ25" s="29"/>
      <c r="AK25" s="29"/>
      <c r="AL25" s="29"/>
      <c r="AM25" s="29"/>
      <c r="AN25" s="35">
        <f>IF(W4="井戸水のみ","",IF(W8&lt;=16,料金表!J17,IF(W8&lt;=25,料金表!J18,IF(W8&lt;=40,料金表!J19,IF(W8&lt;=50,料金表!V17,IF(W8&lt;=75,料金表!V18,IF(W8&lt;=100,料金表!V19,0)))))))</f>
        <v>66</v>
      </c>
      <c r="AO25" s="35"/>
      <c r="AP25" s="35"/>
      <c r="AQ25" s="35"/>
      <c r="AR25" s="35"/>
      <c r="AS25" s="35"/>
      <c r="AT25" s="35"/>
      <c r="AU25" s="35"/>
      <c r="AV25" s="2"/>
      <c r="AW25" s="2"/>
      <c r="AX25" s="2"/>
      <c r="AY25" s="2"/>
      <c r="AZ25" s="2"/>
      <c r="BA25" s="11"/>
    </row>
    <row r="26" spans="3:53" ht="20.100000000000001" customHeight="1" x14ac:dyDescent="0.15">
      <c r="C26" s="10"/>
      <c r="D26" s="2" t="s">
        <v>36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36">
        <f>INT(SUM(AN16:AU25))</f>
        <v>3971</v>
      </c>
      <c r="AO26" s="36"/>
      <c r="AP26" s="36"/>
      <c r="AQ26" s="36"/>
      <c r="AR26" s="36"/>
      <c r="AS26" s="36"/>
      <c r="AT26" s="36"/>
      <c r="AU26" s="36"/>
      <c r="AV26" s="2" t="s">
        <v>29</v>
      </c>
      <c r="AW26" s="2"/>
      <c r="AX26" s="2"/>
      <c r="AY26" s="2"/>
      <c r="AZ26" s="2"/>
      <c r="BA26" s="11"/>
    </row>
    <row r="27" spans="3:53" ht="20.100000000000001" customHeight="1" x14ac:dyDescent="0.15"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4"/>
      <c r="AO27" s="4"/>
      <c r="AP27" s="4"/>
      <c r="AQ27" s="4"/>
      <c r="AR27" s="4"/>
      <c r="AS27" s="4"/>
      <c r="AT27" s="4"/>
      <c r="AU27" s="4"/>
      <c r="AV27" s="2"/>
      <c r="AW27" s="2"/>
      <c r="AX27" s="2"/>
      <c r="AY27" s="2"/>
      <c r="AZ27" s="2"/>
      <c r="BA27" s="11"/>
    </row>
    <row r="28" spans="3:53" ht="20.100000000000001" customHeight="1" x14ac:dyDescent="0.15">
      <c r="C28" s="10"/>
      <c r="D28" s="5" t="s">
        <v>50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11"/>
    </row>
    <row r="29" spans="3:53" ht="20.100000000000001" customHeight="1" x14ac:dyDescent="0.15">
      <c r="C29" s="10"/>
      <c r="D29" s="2" t="s">
        <v>31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8"/>
      <c r="AH29" s="28"/>
      <c r="AI29" s="28"/>
      <c r="AJ29" s="28"/>
      <c r="AK29" s="28"/>
      <c r="AL29" s="28"/>
      <c r="AM29" s="28"/>
      <c r="AN29" s="34">
        <f>料金表!U24</f>
        <v>825</v>
      </c>
      <c r="AO29" s="34"/>
      <c r="AP29" s="34"/>
      <c r="AQ29" s="34"/>
      <c r="AR29" s="34"/>
      <c r="AS29" s="34"/>
      <c r="AT29" s="34"/>
      <c r="AU29" s="34"/>
      <c r="AV29" s="2"/>
      <c r="AW29" s="2"/>
      <c r="AX29" s="2"/>
      <c r="AY29" s="2"/>
      <c r="AZ29" s="2"/>
      <c r="BA29" s="11"/>
    </row>
    <row r="30" spans="3:53" ht="20.100000000000001" customHeight="1" x14ac:dyDescent="0.15">
      <c r="C30" s="10"/>
      <c r="D30" s="2" t="s">
        <v>51</v>
      </c>
      <c r="E30" s="2"/>
      <c r="F30" s="2"/>
      <c r="G30" s="2"/>
      <c r="H30" s="2"/>
      <c r="I30" s="2"/>
      <c r="J30" s="2"/>
      <c r="K30" s="39" t="str">
        <f>IF($AC$12&gt;0,"1","")</f>
        <v>1</v>
      </c>
      <c r="L30" s="39"/>
      <c r="M30" s="39"/>
      <c r="N30" s="39" t="s">
        <v>5</v>
      </c>
      <c r="O30" s="39"/>
      <c r="P30" s="39">
        <f>IF(AND($AC$12&gt;=1,$AC$12&lt;=10),$AC$12,10)</f>
        <v>10</v>
      </c>
      <c r="Q30" s="39"/>
      <c r="R30" s="39"/>
      <c r="S30" s="37" t="s">
        <v>4</v>
      </c>
      <c r="T30" s="37"/>
      <c r="U30" s="37"/>
      <c r="V30" s="37"/>
      <c r="W30" s="37"/>
      <c r="X30" s="37"/>
      <c r="Y30" s="37"/>
      <c r="Z30" s="37"/>
      <c r="AA30" s="38">
        <f>P30-K30+1</f>
        <v>10</v>
      </c>
      <c r="AB30" s="38"/>
      <c r="AC30" s="38"/>
      <c r="AD30" s="38"/>
      <c r="AE30" s="39" t="s">
        <v>6</v>
      </c>
      <c r="AF30" s="39"/>
      <c r="AG30" s="42">
        <f>料金表!U25</f>
        <v>55</v>
      </c>
      <c r="AH30" s="42"/>
      <c r="AI30" s="42"/>
      <c r="AJ30" s="42"/>
      <c r="AK30" s="42"/>
      <c r="AL30" s="41" t="s">
        <v>7</v>
      </c>
      <c r="AM30" s="41"/>
      <c r="AN30" s="34">
        <f>IF($AC$12&lt;1,0,AA30*AG30)</f>
        <v>550</v>
      </c>
      <c r="AO30" s="34"/>
      <c r="AP30" s="34"/>
      <c r="AQ30" s="34"/>
      <c r="AR30" s="34"/>
      <c r="AS30" s="34"/>
      <c r="AT30" s="34"/>
      <c r="AU30" s="34"/>
      <c r="AV30" s="2"/>
      <c r="AW30" s="2"/>
      <c r="AX30" s="2"/>
      <c r="AY30" s="2"/>
      <c r="AZ30" s="2"/>
      <c r="BA30" s="11"/>
    </row>
    <row r="31" spans="3:53" ht="20.100000000000001" customHeight="1" x14ac:dyDescent="0.15">
      <c r="C31" s="10"/>
      <c r="D31" s="2"/>
      <c r="E31" s="2"/>
      <c r="F31" s="2"/>
      <c r="G31" s="2"/>
      <c r="H31" s="2"/>
      <c r="I31" s="2"/>
      <c r="J31" s="2"/>
      <c r="K31" s="39" t="str">
        <f>IF($AC$12&gt;10,"11","")</f>
        <v>11</v>
      </c>
      <c r="L31" s="39"/>
      <c r="M31" s="39"/>
      <c r="N31" s="39" t="s">
        <v>5</v>
      </c>
      <c r="O31" s="39"/>
      <c r="P31" s="39">
        <f>IF(AND($AC$12&gt;=11,$AC$12&lt;=20),$AC$12,20)</f>
        <v>20</v>
      </c>
      <c r="Q31" s="39"/>
      <c r="R31" s="39"/>
      <c r="S31" s="37" t="s">
        <v>4</v>
      </c>
      <c r="T31" s="37"/>
      <c r="U31" s="37"/>
      <c r="V31" s="37"/>
      <c r="W31" s="37"/>
      <c r="X31" s="37"/>
      <c r="Y31" s="37"/>
      <c r="Z31" s="37"/>
      <c r="AA31" s="38">
        <f t="shared" ref="AA31:AA37" si="1">P31-K31+1</f>
        <v>10</v>
      </c>
      <c r="AB31" s="38"/>
      <c r="AC31" s="38"/>
      <c r="AD31" s="38"/>
      <c r="AE31" s="39" t="s">
        <v>6</v>
      </c>
      <c r="AF31" s="39"/>
      <c r="AG31" s="42">
        <f>料金表!U26</f>
        <v>143</v>
      </c>
      <c r="AH31" s="42"/>
      <c r="AI31" s="42"/>
      <c r="AJ31" s="42"/>
      <c r="AK31" s="42"/>
      <c r="AL31" s="41" t="s">
        <v>7</v>
      </c>
      <c r="AM31" s="41"/>
      <c r="AN31" s="34">
        <f>IF($AC$12&lt;11,0,AA31*AG31)</f>
        <v>1430</v>
      </c>
      <c r="AO31" s="34"/>
      <c r="AP31" s="34"/>
      <c r="AQ31" s="34"/>
      <c r="AR31" s="34"/>
      <c r="AS31" s="34"/>
      <c r="AT31" s="34"/>
      <c r="AU31" s="34"/>
      <c r="AV31" s="2"/>
      <c r="AW31" s="2"/>
      <c r="AX31" s="2"/>
      <c r="AY31" s="2"/>
      <c r="AZ31" s="2"/>
      <c r="BA31" s="11"/>
    </row>
    <row r="32" spans="3:53" ht="20.100000000000001" customHeight="1" x14ac:dyDescent="0.15">
      <c r="C32" s="10"/>
      <c r="D32" s="2"/>
      <c r="E32" s="2"/>
      <c r="F32" s="2"/>
      <c r="G32" s="2"/>
      <c r="H32" s="2"/>
      <c r="I32" s="2"/>
      <c r="J32" s="2"/>
      <c r="K32" s="39" t="str">
        <f>IF($AC$12&gt;20,"21","")</f>
        <v/>
      </c>
      <c r="L32" s="39"/>
      <c r="M32" s="39"/>
      <c r="N32" s="39" t="s">
        <v>5</v>
      </c>
      <c r="O32" s="39"/>
      <c r="P32" s="39">
        <f>IF(AND($AC$12&gt;=21,$AC$12&lt;=30),$AC$12,30)</f>
        <v>30</v>
      </c>
      <c r="Q32" s="39"/>
      <c r="R32" s="39"/>
      <c r="S32" s="37" t="s">
        <v>4</v>
      </c>
      <c r="T32" s="37"/>
      <c r="U32" s="37"/>
      <c r="V32" s="37"/>
      <c r="W32" s="37"/>
      <c r="X32" s="37"/>
      <c r="Y32" s="37"/>
      <c r="Z32" s="37"/>
      <c r="AA32" s="38" t="e">
        <f t="shared" si="1"/>
        <v>#VALUE!</v>
      </c>
      <c r="AB32" s="38"/>
      <c r="AC32" s="38"/>
      <c r="AD32" s="38"/>
      <c r="AE32" s="39" t="s">
        <v>6</v>
      </c>
      <c r="AF32" s="39"/>
      <c r="AG32" s="42">
        <f>料金表!U27</f>
        <v>176</v>
      </c>
      <c r="AH32" s="42"/>
      <c r="AI32" s="42"/>
      <c r="AJ32" s="42"/>
      <c r="AK32" s="42"/>
      <c r="AL32" s="41" t="s">
        <v>7</v>
      </c>
      <c r="AM32" s="41"/>
      <c r="AN32" s="34">
        <f>IF($AC$12&lt;21,0,AA32*AG32)</f>
        <v>0</v>
      </c>
      <c r="AO32" s="34"/>
      <c r="AP32" s="34"/>
      <c r="AQ32" s="34"/>
      <c r="AR32" s="34"/>
      <c r="AS32" s="34"/>
      <c r="AT32" s="34"/>
      <c r="AU32" s="34"/>
      <c r="AV32" s="2"/>
      <c r="AW32" s="2"/>
      <c r="AX32" s="2"/>
      <c r="AY32" s="2"/>
      <c r="AZ32" s="2"/>
      <c r="BA32" s="11"/>
    </row>
    <row r="33" spans="3:53" ht="20.100000000000001" customHeight="1" x14ac:dyDescent="0.15">
      <c r="C33" s="10"/>
      <c r="D33" s="2"/>
      <c r="E33" s="2"/>
      <c r="F33" s="2"/>
      <c r="G33" s="2"/>
      <c r="H33" s="2"/>
      <c r="I33" s="2"/>
      <c r="J33" s="2"/>
      <c r="K33" s="39" t="str">
        <f>IF($AC$12&gt;30,"31","")</f>
        <v/>
      </c>
      <c r="L33" s="39"/>
      <c r="M33" s="39"/>
      <c r="N33" s="39" t="s">
        <v>5</v>
      </c>
      <c r="O33" s="39"/>
      <c r="P33" s="39">
        <f>IF(AND($AC$12&gt;=31,$AC$12&lt;=40),$AC$12,40)</f>
        <v>40</v>
      </c>
      <c r="Q33" s="39"/>
      <c r="R33" s="39"/>
      <c r="S33" s="37" t="s">
        <v>4</v>
      </c>
      <c r="T33" s="37"/>
      <c r="U33" s="37"/>
      <c r="V33" s="37"/>
      <c r="W33" s="37"/>
      <c r="X33" s="37"/>
      <c r="Y33" s="37"/>
      <c r="Z33" s="37"/>
      <c r="AA33" s="38" t="e">
        <f>P33-K33+1</f>
        <v>#VALUE!</v>
      </c>
      <c r="AB33" s="38"/>
      <c r="AC33" s="38"/>
      <c r="AD33" s="38"/>
      <c r="AE33" s="39" t="s">
        <v>6</v>
      </c>
      <c r="AF33" s="39"/>
      <c r="AG33" s="42">
        <f>料金表!U28</f>
        <v>209</v>
      </c>
      <c r="AH33" s="42"/>
      <c r="AI33" s="42"/>
      <c r="AJ33" s="42"/>
      <c r="AK33" s="42"/>
      <c r="AL33" s="41" t="s">
        <v>7</v>
      </c>
      <c r="AM33" s="41"/>
      <c r="AN33" s="34">
        <f>IF($AC$12&lt;31,0,AA33*AG33)</f>
        <v>0</v>
      </c>
      <c r="AO33" s="34"/>
      <c r="AP33" s="34"/>
      <c r="AQ33" s="34"/>
      <c r="AR33" s="34"/>
      <c r="AS33" s="34"/>
      <c r="AT33" s="34"/>
      <c r="AU33" s="34"/>
      <c r="AV33" s="2"/>
      <c r="AW33" s="2"/>
      <c r="AX33" s="2"/>
      <c r="AY33" s="2"/>
      <c r="AZ33" s="2"/>
      <c r="BA33" s="11"/>
    </row>
    <row r="34" spans="3:53" ht="20.100000000000001" customHeight="1" x14ac:dyDescent="0.15">
      <c r="C34" s="10"/>
      <c r="D34" s="2"/>
      <c r="E34" s="2"/>
      <c r="F34" s="2"/>
      <c r="G34" s="2"/>
      <c r="H34" s="2"/>
      <c r="I34" s="2"/>
      <c r="J34" s="2"/>
      <c r="K34" s="39" t="str">
        <f>IF($AC$12&gt;40,"41","")</f>
        <v/>
      </c>
      <c r="L34" s="39"/>
      <c r="M34" s="39"/>
      <c r="N34" s="39" t="s">
        <v>5</v>
      </c>
      <c r="O34" s="39"/>
      <c r="P34" s="39">
        <f>IF(AND($AC$12&gt;=41,$AC$12&lt;=50),$AC$12,50)</f>
        <v>50</v>
      </c>
      <c r="Q34" s="39"/>
      <c r="R34" s="39"/>
      <c r="S34" s="37" t="s">
        <v>4</v>
      </c>
      <c r="T34" s="37"/>
      <c r="U34" s="37"/>
      <c r="V34" s="37"/>
      <c r="W34" s="37"/>
      <c r="X34" s="37"/>
      <c r="Y34" s="37"/>
      <c r="Z34" s="37"/>
      <c r="AA34" s="38" t="e">
        <f>P34-K34+1</f>
        <v>#VALUE!</v>
      </c>
      <c r="AB34" s="38"/>
      <c r="AC34" s="38"/>
      <c r="AD34" s="38"/>
      <c r="AE34" s="39" t="s">
        <v>6</v>
      </c>
      <c r="AF34" s="39"/>
      <c r="AG34" s="42">
        <f>料金表!U29</f>
        <v>242</v>
      </c>
      <c r="AH34" s="42"/>
      <c r="AI34" s="42"/>
      <c r="AJ34" s="42"/>
      <c r="AK34" s="42"/>
      <c r="AL34" s="41" t="s">
        <v>7</v>
      </c>
      <c r="AM34" s="41"/>
      <c r="AN34" s="34">
        <f>IF($AC$12&lt;41,0,AA34*AG34)</f>
        <v>0</v>
      </c>
      <c r="AO34" s="34"/>
      <c r="AP34" s="34"/>
      <c r="AQ34" s="34"/>
      <c r="AR34" s="34"/>
      <c r="AS34" s="34"/>
      <c r="AT34" s="34"/>
      <c r="AU34" s="34"/>
      <c r="AV34" s="2"/>
      <c r="AW34" s="2"/>
      <c r="AX34" s="2"/>
      <c r="AY34" s="2"/>
      <c r="AZ34" s="2"/>
      <c r="BA34" s="11"/>
    </row>
    <row r="35" spans="3:53" ht="20.100000000000001" customHeight="1" x14ac:dyDescent="0.15">
      <c r="C35" s="10"/>
      <c r="D35" s="2"/>
      <c r="E35" s="2"/>
      <c r="F35" s="2"/>
      <c r="G35" s="2"/>
      <c r="H35" s="2"/>
      <c r="I35" s="2"/>
      <c r="J35" s="2"/>
      <c r="K35" s="39" t="str">
        <f>IF($AC$12&gt;50,"51","")</f>
        <v/>
      </c>
      <c r="L35" s="39"/>
      <c r="M35" s="39"/>
      <c r="N35" s="39" t="s">
        <v>5</v>
      </c>
      <c r="O35" s="39"/>
      <c r="P35" s="39">
        <f>IF(AND($AC$12&gt;=51,$AC$12&lt;=100),$AC$12,100)</f>
        <v>100</v>
      </c>
      <c r="Q35" s="39"/>
      <c r="R35" s="39"/>
      <c r="S35" s="37" t="s">
        <v>4</v>
      </c>
      <c r="T35" s="37"/>
      <c r="U35" s="37"/>
      <c r="V35" s="37"/>
      <c r="W35" s="37"/>
      <c r="X35" s="37"/>
      <c r="Y35" s="37"/>
      <c r="Z35" s="37"/>
      <c r="AA35" s="38" t="e">
        <f>P35-K35+1</f>
        <v>#VALUE!</v>
      </c>
      <c r="AB35" s="38"/>
      <c r="AC35" s="38"/>
      <c r="AD35" s="38"/>
      <c r="AE35" s="39" t="s">
        <v>6</v>
      </c>
      <c r="AF35" s="39"/>
      <c r="AG35" s="42">
        <f>料金表!U30</f>
        <v>275</v>
      </c>
      <c r="AH35" s="42"/>
      <c r="AI35" s="42"/>
      <c r="AJ35" s="42"/>
      <c r="AK35" s="42"/>
      <c r="AL35" s="41" t="s">
        <v>7</v>
      </c>
      <c r="AM35" s="41"/>
      <c r="AN35" s="34">
        <f>IF($AC$12&lt;51,0,AA35*AG35)</f>
        <v>0</v>
      </c>
      <c r="AO35" s="34"/>
      <c r="AP35" s="34"/>
      <c r="AQ35" s="34"/>
      <c r="AR35" s="34"/>
      <c r="AS35" s="34"/>
      <c r="AT35" s="34"/>
      <c r="AU35" s="34"/>
      <c r="AV35" s="2"/>
      <c r="AW35" s="2"/>
      <c r="AX35" s="2"/>
      <c r="AY35" s="2"/>
      <c r="AZ35" s="2"/>
      <c r="BA35" s="11"/>
    </row>
    <row r="36" spans="3:53" ht="20.100000000000001" customHeight="1" x14ac:dyDescent="0.15">
      <c r="C36" s="10"/>
      <c r="D36" s="2"/>
      <c r="E36" s="2"/>
      <c r="F36" s="2"/>
      <c r="G36" s="2"/>
      <c r="H36" s="2"/>
      <c r="I36" s="2"/>
      <c r="J36" s="2"/>
      <c r="K36" s="39" t="str">
        <f>IF($AC$12&gt;100,"101","")</f>
        <v/>
      </c>
      <c r="L36" s="39"/>
      <c r="M36" s="39"/>
      <c r="N36" s="39" t="s">
        <v>5</v>
      </c>
      <c r="O36" s="39"/>
      <c r="P36" s="39">
        <f>IF(AND($AC$12&gt;=101,$AC$12&lt;=500),$AC$12,500)</f>
        <v>500</v>
      </c>
      <c r="Q36" s="39"/>
      <c r="R36" s="39"/>
      <c r="S36" s="37" t="s">
        <v>4</v>
      </c>
      <c r="T36" s="37"/>
      <c r="U36" s="37"/>
      <c r="V36" s="37"/>
      <c r="W36" s="37"/>
      <c r="X36" s="37"/>
      <c r="Y36" s="37"/>
      <c r="Z36" s="37"/>
      <c r="AA36" s="38" t="e">
        <f>P36-K36+1</f>
        <v>#VALUE!</v>
      </c>
      <c r="AB36" s="38"/>
      <c r="AC36" s="38"/>
      <c r="AD36" s="38"/>
      <c r="AE36" s="39" t="s">
        <v>6</v>
      </c>
      <c r="AF36" s="39"/>
      <c r="AG36" s="42">
        <f>料金表!U31</f>
        <v>308</v>
      </c>
      <c r="AH36" s="42"/>
      <c r="AI36" s="42"/>
      <c r="AJ36" s="42"/>
      <c r="AK36" s="42"/>
      <c r="AL36" s="41" t="s">
        <v>7</v>
      </c>
      <c r="AM36" s="41"/>
      <c r="AN36" s="34">
        <f>IF($AC$12&lt;101,0,AA36*AG36)</f>
        <v>0</v>
      </c>
      <c r="AO36" s="34"/>
      <c r="AP36" s="34"/>
      <c r="AQ36" s="34"/>
      <c r="AR36" s="34"/>
      <c r="AS36" s="34"/>
      <c r="AT36" s="34"/>
      <c r="AU36" s="34"/>
      <c r="AV36" s="2"/>
      <c r="AW36" s="2"/>
      <c r="AX36" s="2"/>
      <c r="AY36" s="2"/>
      <c r="AZ36" s="2"/>
      <c r="BA36" s="11"/>
    </row>
    <row r="37" spans="3:53" ht="20.100000000000001" customHeight="1" x14ac:dyDescent="0.15">
      <c r="C37" s="10"/>
      <c r="D37" s="1"/>
      <c r="E37" s="1"/>
      <c r="F37" s="1"/>
      <c r="G37" s="1"/>
      <c r="H37" s="1"/>
      <c r="I37" s="1"/>
      <c r="J37" s="1"/>
      <c r="K37" s="46" t="str">
        <f>IF($AC$12&gt;500,"501","")</f>
        <v/>
      </c>
      <c r="L37" s="46"/>
      <c r="M37" s="46"/>
      <c r="N37" s="46" t="s">
        <v>5</v>
      </c>
      <c r="O37" s="46"/>
      <c r="P37" s="49" t="str">
        <f>IF($AC$12&gt;500,$AC$12,"")</f>
        <v/>
      </c>
      <c r="Q37" s="49"/>
      <c r="R37" s="49"/>
      <c r="S37" s="50" t="s">
        <v>4</v>
      </c>
      <c r="T37" s="50"/>
      <c r="U37" s="50"/>
      <c r="V37" s="50"/>
      <c r="W37" s="50"/>
      <c r="X37" s="50"/>
      <c r="Y37" s="50"/>
      <c r="Z37" s="50"/>
      <c r="AA37" s="45" t="e">
        <f t="shared" si="1"/>
        <v>#VALUE!</v>
      </c>
      <c r="AB37" s="45"/>
      <c r="AC37" s="45"/>
      <c r="AD37" s="45"/>
      <c r="AE37" s="46" t="s">
        <v>6</v>
      </c>
      <c r="AF37" s="46"/>
      <c r="AG37" s="47">
        <f>料金表!U32</f>
        <v>341</v>
      </c>
      <c r="AH37" s="47"/>
      <c r="AI37" s="47"/>
      <c r="AJ37" s="47"/>
      <c r="AK37" s="47"/>
      <c r="AL37" s="48" t="s">
        <v>7</v>
      </c>
      <c r="AM37" s="48"/>
      <c r="AN37" s="35">
        <f>IF($AC$12&lt;501,0,AA37*AG37)</f>
        <v>0</v>
      </c>
      <c r="AO37" s="35"/>
      <c r="AP37" s="35"/>
      <c r="AQ37" s="35"/>
      <c r="AR37" s="35"/>
      <c r="AS37" s="35"/>
      <c r="AT37" s="35"/>
      <c r="AU37" s="35"/>
      <c r="AV37" s="2"/>
      <c r="AW37" s="2"/>
      <c r="AX37" s="2"/>
      <c r="AY37" s="2"/>
      <c r="AZ37" s="2"/>
      <c r="BA37" s="11"/>
    </row>
    <row r="38" spans="3:53" ht="20.100000000000001" customHeight="1" x14ac:dyDescent="0.15">
      <c r="C38" s="10"/>
      <c r="D38" s="2" t="s">
        <v>36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8"/>
      <c r="AH38" s="28"/>
      <c r="AI38" s="28"/>
      <c r="AJ38" s="28"/>
      <c r="AK38" s="28"/>
      <c r="AL38" s="28"/>
      <c r="AM38" s="28"/>
      <c r="AN38" s="36">
        <f>INT(SUM(AN29:AU37))</f>
        <v>2805</v>
      </c>
      <c r="AO38" s="36"/>
      <c r="AP38" s="36"/>
      <c r="AQ38" s="36"/>
      <c r="AR38" s="36"/>
      <c r="AS38" s="36"/>
      <c r="AT38" s="36"/>
      <c r="AU38" s="36"/>
      <c r="AV38" s="2" t="s">
        <v>29</v>
      </c>
      <c r="AW38" s="2"/>
      <c r="AX38" s="2"/>
      <c r="AY38" s="2"/>
      <c r="AZ38" s="2"/>
      <c r="BA38" s="11"/>
    </row>
    <row r="39" spans="3:53" ht="20.100000000000001" customHeight="1" thickBot="1" x14ac:dyDescent="0.2"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5"/>
      <c r="AO39" s="15"/>
      <c r="AP39" s="15"/>
      <c r="AQ39" s="15"/>
      <c r="AR39" s="15"/>
      <c r="AS39" s="15"/>
      <c r="AT39" s="15"/>
      <c r="AU39" s="15"/>
      <c r="AV39" s="13"/>
      <c r="AW39" s="13"/>
      <c r="AX39" s="13"/>
      <c r="AY39" s="13"/>
      <c r="AZ39" s="13"/>
      <c r="BA39" s="14"/>
    </row>
    <row r="40" spans="3:53" ht="20.100000000000001" customHeight="1" thickTop="1" x14ac:dyDescent="0.15"/>
  </sheetData>
  <sheetProtection selectLockedCells="1"/>
  <mergeCells count="159">
    <mergeCell ref="AN20:AU20"/>
    <mergeCell ref="AN21:AU21"/>
    <mergeCell ref="AL22:AM22"/>
    <mergeCell ref="AL23:AM23"/>
    <mergeCell ref="P22:R22"/>
    <mergeCell ref="P23:R23"/>
    <mergeCell ref="N20:O20"/>
    <mergeCell ref="N21:O21"/>
    <mergeCell ref="N22:O22"/>
    <mergeCell ref="N23:O23"/>
    <mergeCell ref="K22:M22"/>
    <mergeCell ref="K23:M23"/>
    <mergeCell ref="W9:AA9"/>
    <mergeCell ref="K17:M17"/>
    <mergeCell ref="N17:O17"/>
    <mergeCell ref="AA23:AD23"/>
    <mergeCell ref="L12:P12"/>
    <mergeCell ref="AC12:AG12"/>
    <mergeCell ref="K11:S11"/>
    <mergeCell ref="AB11:AJ11"/>
    <mergeCell ref="P18:R18"/>
    <mergeCell ref="S18:Z18"/>
    <mergeCell ref="AA19:AD19"/>
    <mergeCell ref="AE19:AF19"/>
    <mergeCell ref="P20:R20"/>
    <mergeCell ref="P21:R21"/>
    <mergeCell ref="AE21:AF21"/>
    <mergeCell ref="K21:M21"/>
    <mergeCell ref="W4:AI4"/>
    <mergeCell ref="W6:AA6"/>
    <mergeCell ref="W7:AA7"/>
    <mergeCell ref="W8:AA8"/>
    <mergeCell ref="AG17:AK17"/>
    <mergeCell ref="AL17:AM17"/>
    <mergeCell ref="AA17:AD17"/>
    <mergeCell ref="S17:Z17"/>
    <mergeCell ref="AE20:AF20"/>
    <mergeCell ref="AL20:AM20"/>
    <mergeCell ref="S20:Z20"/>
    <mergeCell ref="AG20:AK20"/>
    <mergeCell ref="AQ11:AY11"/>
    <mergeCell ref="P36:R36"/>
    <mergeCell ref="AN35:AU35"/>
    <mergeCell ref="AA35:AD35"/>
    <mergeCell ref="AE35:AF35"/>
    <mergeCell ref="AG35:AK35"/>
    <mergeCell ref="AL35:AM35"/>
    <mergeCell ref="AN31:AU31"/>
    <mergeCell ref="AA32:AD32"/>
    <mergeCell ref="AE32:AF32"/>
    <mergeCell ref="AG32:AK32"/>
    <mergeCell ref="AL32:AM32"/>
    <mergeCell ref="AN32:AU32"/>
    <mergeCell ref="AA31:AD31"/>
    <mergeCell ref="AE31:AF31"/>
    <mergeCell ref="AG31:AK31"/>
    <mergeCell ref="AL31:AM31"/>
    <mergeCell ref="AE18:AF18"/>
    <mergeCell ref="AA20:AD20"/>
    <mergeCell ref="AA21:AD21"/>
    <mergeCell ref="AA22:AD22"/>
    <mergeCell ref="AN18:AU18"/>
    <mergeCell ref="AG19:AK19"/>
    <mergeCell ref="AL19:AM19"/>
    <mergeCell ref="N37:O37"/>
    <mergeCell ref="P37:R37"/>
    <mergeCell ref="S37:Z37"/>
    <mergeCell ref="K36:M36"/>
    <mergeCell ref="K32:M32"/>
    <mergeCell ref="AN36:AU36"/>
    <mergeCell ref="K34:M34"/>
    <mergeCell ref="N34:O34"/>
    <mergeCell ref="P34:R34"/>
    <mergeCell ref="S34:Z34"/>
    <mergeCell ref="AA36:AD36"/>
    <mergeCell ref="AE36:AF36"/>
    <mergeCell ref="AG36:AK36"/>
    <mergeCell ref="AL36:AM36"/>
    <mergeCell ref="K35:M35"/>
    <mergeCell ref="N35:O35"/>
    <mergeCell ref="P35:R35"/>
    <mergeCell ref="S35:Z35"/>
    <mergeCell ref="S36:Z36"/>
    <mergeCell ref="N32:O32"/>
    <mergeCell ref="P32:R32"/>
    <mergeCell ref="S32:Z32"/>
    <mergeCell ref="N36:O36"/>
    <mergeCell ref="N19:O19"/>
    <mergeCell ref="P19:R19"/>
    <mergeCell ref="S19:Z19"/>
    <mergeCell ref="K20:M20"/>
    <mergeCell ref="AN37:AU37"/>
    <mergeCell ref="K33:M33"/>
    <mergeCell ref="N33:O33"/>
    <mergeCell ref="P33:R33"/>
    <mergeCell ref="S33:Z33"/>
    <mergeCell ref="AA33:AD33"/>
    <mergeCell ref="AA34:AD34"/>
    <mergeCell ref="AE34:AF34"/>
    <mergeCell ref="AG34:AK34"/>
    <mergeCell ref="AE33:AF33"/>
    <mergeCell ref="AG33:AK33"/>
    <mergeCell ref="AL33:AM33"/>
    <mergeCell ref="AN33:AU33"/>
    <mergeCell ref="AA37:AD37"/>
    <mergeCell ref="AE37:AF37"/>
    <mergeCell ref="AG37:AK37"/>
    <mergeCell ref="AL37:AM37"/>
    <mergeCell ref="AL34:AM34"/>
    <mergeCell ref="AN34:AU34"/>
    <mergeCell ref="K37:M37"/>
    <mergeCell ref="AN38:AU38"/>
    <mergeCell ref="AL30:AM30"/>
    <mergeCell ref="P17:R17"/>
    <mergeCell ref="AG30:AK30"/>
    <mergeCell ref="AE17:AF17"/>
    <mergeCell ref="K30:M30"/>
    <mergeCell ref="N30:O30"/>
    <mergeCell ref="P30:R30"/>
    <mergeCell ref="AN17:AU17"/>
    <mergeCell ref="K31:M31"/>
    <mergeCell ref="N31:O31"/>
    <mergeCell ref="P31:R31"/>
    <mergeCell ref="S31:Z31"/>
    <mergeCell ref="AG18:AK18"/>
    <mergeCell ref="AA24:AD24"/>
    <mergeCell ref="AE24:AF24"/>
    <mergeCell ref="AA18:AD18"/>
    <mergeCell ref="K18:M18"/>
    <mergeCell ref="N18:O18"/>
    <mergeCell ref="K24:M24"/>
    <mergeCell ref="N24:O24"/>
    <mergeCell ref="P24:R24"/>
    <mergeCell ref="S24:Z24"/>
    <mergeCell ref="K19:M19"/>
    <mergeCell ref="AN16:AU16"/>
    <mergeCell ref="AN25:AU25"/>
    <mergeCell ref="AN26:AU26"/>
    <mergeCell ref="AN19:AU19"/>
    <mergeCell ref="S30:Z30"/>
    <mergeCell ref="AA30:AD30"/>
    <mergeCell ref="AE30:AF30"/>
    <mergeCell ref="AN29:AU29"/>
    <mergeCell ref="AN30:AU30"/>
    <mergeCell ref="AG24:AK24"/>
    <mergeCell ref="AL24:AM24"/>
    <mergeCell ref="AN24:AU24"/>
    <mergeCell ref="AL18:AM18"/>
    <mergeCell ref="AN22:AU22"/>
    <mergeCell ref="AN23:AU23"/>
    <mergeCell ref="AL21:AM21"/>
    <mergeCell ref="S21:Z21"/>
    <mergeCell ref="S22:Z22"/>
    <mergeCell ref="S23:Z23"/>
    <mergeCell ref="AG21:AK21"/>
    <mergeCell ref="AG22:AK22"/>
    <mergeCell ref="AG23:AK23"/>
    <mergeCell ref="AE22:AF22"/>
    <mergeCell ref="AE23:AF23"/>
  </mergeCells>
  <phoneticPr fontId="2"/>
  <conditionalFormatting sqref="K30:AU30">
    <cfRule type="expression" dxfId="21" priority="1" stopIfTrue="1">
      <formula>$AC$12&lt;1</formula>
    </cfRule>
  </conditionalFormatting>
  <conditionalFormatting sqref="K31:AU31">
    <cfRule type="expression" dxfId="20" priority="2" stopIfTrue="1">
      <formula>$AC$12&lt;11</formula>
    </cfRule>
  </conditionalFormatting>
  <conditionalFormatting sqref="K32:AU32">
    <cfRule type="expression" dxfId="19" priority="3" stopIfTrue="1">
      <formula>$AC$12&lt;21</formula>
    </cfRule>
  </conditionalFormatting>
  <conditionalFormatting sqref="K33:AU33">
    <cfRule type="expression" dxfId="18" priority="4" stopIfTrue="1">
      <formula>$AC$12&lt;31</formula>
    </cfRule>
  </conditionalFormatting>
  <conditionalFormatting sqref="K34:AU34">
    <cfRule type="expression" dxfId="17" priority="5" stopIfTrue="1">
      <formula>$AC$12&lt;41</formula>
    </cfRule>
  </conditionalFormatting>
  <conditionalFormatting sqref="K35:AU35">
    <cfRule type="expression" dxfId="16" priority="6" stopIfTrue="1">
      <formula>$AC$12&lt;51</formula>
    </cfRule>
  </conditionalFormatting>
  <conditionalFormatting sqref="K36:AU36">
    <cfRule type="expression" dxfId="15" priority="7" stopIfTrue="1">
      <formula>$AC$12&lt;101</formula>
    </cfRule>
  </conditionalFormatting>
  <conditionalFormatting sqref="K37:AU37">
    <cfRule type="expression" dxfId="14" priority="8" stopIfTrue="1">
      <formula>$AC$12&lt;501</formula>
    </cfRule>
  </conditionalFormatting>
  <conditionalFormatting sqref="C6:C8 AB7:AB8">
    <cfRule type="expression" dxfId="13" priority="9" stopIfTrue="1">
      <formula>$W$4="井戸水のみ"</formula>
    </cfRule>
  </conditionalFormatting>
  <conditionalFormatting sqref="C9 AB9">
    <cfRule type="expression" dxfId="12" priority="10" stopIfTrue="1">
      <formula>$W$4="市水道のみ"</formula>
    </cfRule>
  </conditionalFormatting>
  <conditionalFormatting sqref="W6:AA8">
    <cfRule type="expression" dxfId="11" priority="11" stopIfTrue="1">
      <formula>$W$4="市水道のみ"</formula>
    </cfRule>
    <cfRule type="expression" dxfId="10" priority="12" stopIfTrue="1">
      <formula>$W$4="市水道と井戸水の併用"</formula>
    </cfRule>
  </conditionalFormatting>
  <conditionalFormatting sqref="W9:AA9">
    <cfRule type="expression" dxfId="9" priority="13" stopIfTrue="1">
      <formula>$W$4="井戸水のみ"</formula>
    </cfRule>
    <cfRule type="expression" dxfId="8" priority="14" stopIfTrue="1">
      <formula>$W$4="市水道と井戸水の併用"</formula>
    </cfRule>
  </conditionalFormatting>
  <conditionalFormatting sqref="K24:AU24">
    <cfRule type="expression" dxfId="7" priority="15" stopIfTrue="1">
      <formula>$W$7&lt;101</formula>
    </cfRule>
  </conditionalFormatting>
  <conditionalFormatting sqref="K23:AU23">
    <cfRule type="expression" dxfId="6" priority="16" stopIfTrue="1">
      <formula>$W$7&lt;51</formula>
    </cfRule>
  </conditionalFormatting>
  <conditionalFormatting sqref="K22:AU22">
    <cfRule type="expression" dxfId="5" priority="17" stopIfTrue="1">
      <formula>$W$7&lt;41</formula>
    </cfRule>
  </conditionalFormatting>
  <conditionalFormatting sqref="K21:AU21">
    <cfRule type="expression" dxfId="4" priority="18" stopIfTrue="1">
      <formula>$W$7&lt;31</formula>
    </cfRule>
  </conditionalFormatting>
  <conditionalFormatting sqref="K20:AU20">
    <cfRule type="expression" dxfId="3" priority="19" stopIfTrue="1">
      <formula>$W$7&lt;21</formula>
    </cfRule>
  </conditionalFormatting>
  <conditionalFormatting sqref="K19:AU19">
    <cfRule type="expression" dxfId="2" priority="20" stopIfTrue="1">
      <formula>$W$7&lt;16</formula>
    </cfRule>
  </conditionalFormatting>
  <conditionalFormatting sqref="K18:AU18">
    <cfRule type="expression" dxfId="1" priority="21" stopIfTrue="1">
      <formula>$W$7&lt;11</formula>
    </cfRule>
  </conditionalFormatting>
  <conditionalFormatting sqref="K17:AU17">
    <cfRule type="expression" dxfId="0" priority="22" stopIfTrue="1">
      <formula>$W$7&lt;6</formula>
    </cfRule>
  </conditionalFormatting>
  <dataValidations count="3">
    <dataValidation type="list" allowBlank="1" showInputMessage="1" showErrorMessage="1" sqref="W6">
      <formula1>"家事用,事業用"</formula1>
    </dataValidation>
    <dataValidation type="list" allowBlank="1" showInputMessage="1" showErrorMessage="1" sqref="W4">
      <formula1>"市水道のみ,井戸水のみ,市水道と井戸水の併用"</formula1>
    </dataValidation>
    <dataValidation type="list" allowBlank="1" showInputMessage="1" showErrorMessage="1" sqref="W8:AA8">
      <formula1>"13,20,25,30,40,50,75,100"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K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2:AI32"/>
  <sheetViews>
    <sheetView topLeftCell="A7" workbookViewId="0">
      <selection activeCell="AG30" sqref="AG30"/>
    </sheetView>
  </sheetViews>
  <sheetFormatPr defaultColWidth="1.625" defaultRowHeight="20.100000000000001" customHeight="1" x14ac:dyDescent="0.15"/>
  <sheetData>
    <row r="2" spans="4:35" ht="20.100000000000001" customHeight="1" x14ac:dyDescent="0.15">
      <c r="D2" t="s">
        <v>9</v>
      </c>
    </row>
    <row r="3" spans="4:35" ht="20.100000000000001" customHeight="1" x14ac:dyDescent="0.15">
      <c r="D3" s="65" t="s">
        <v>10</v>
      </c>
      <c r="E3" s="65"/>
      <c r="F3" s="65"/>
      <c r="G3" s="65"/>
      <c r="H3" s="65" t="s">
        <v>2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 t="s">
        <v>14</v>
      </c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4:35" ht="20.100000000000001" customHeight="1" x14ac:dyDescent="0.15">
      <c r="D4" s="65"/>
      <c r="E4" s="65"/>
      <c r="F4" s="65"/>
      <c r="G4" s="65"/>
      <c r="H4" s="65" t="s">
        <v>11</v>
      </c>
      <c r="I4" s="65"/>
      <c r="J4" s="65"/>
      <c r="K4" s="65"/>
      <c r="L4" s="65"/>
      <c r="M4" s="65"/>
      <c r="N4" s="65" t="s">
        <v>12</v>
      </c>
      <c r="O4" s="65"/>
      <c r="P4" s="65"/>
      <c r="Q4" s="65"/>
      <c r="R4" s="65"/>
      <c r="S4" s="65"/>
      <c r="T4" s="75" t="s">
        <v>11</v>
      </c>
      <c r="U4" s="75"/>
      <c r="V4" s="75"/>
      <c r="W4" s="75"/>
      <c r="X4" s="75"/>
      <c r="Y4" s="75"/>
      <c r="Z4" s="75"/>
      <c r="AA4" s="75"/>
      <c r="AB4" s="75"/>
      <c r="AC4" s="75"/>
      <c r="AD4" s="65" t="s">
        <v>12</v>
      </c>
      <c r="AE4" s="65"/>
      <c r="AF4" s="65"/>
      <c r="AG4" s="65"/>
      <c r="AH4" s="65"/>
      <c r="AI4" s="65"/>
    </row>
    <row r="5" spans="4:35" ht="20.100000000000001" customHeight="1" x14ac:dyDescent="0.15">
      <c r="D5" s="65" t="s">
        <v>17</v>
      </c>
      <c r="E5" s="65"/>
      <c r="F5" s="65"/>
      <c r="G5" s="65"/>
      <c r="H5" s="65" t="s">
        <v>13</v>
      </c>
      <c r="I5" s="65"/>
      <c r="J5" s="65"/>
      <c r="K5" s="65"/>
      <c r="L5" s="65"/>
      <c r="M5" s="65"/>
      <c r="N5" s="76">
        <v>935</v>
      </c>
      <c r="O5" s="76"/>
      <c r="P5" s="76"/>
      <c r="Q5" s="76"/>
      <c r="R5" s="76"/>
      <c r="S5" s="76"/>
      <c r="T5" s="80">
        <v>6</v>
      </c>
      <c r="U5" s="66"/>
      <c r="V5" s="66"/>
      <c r="W5" s="66"/>
      <c r="X5" s="68" t="s">
        <v>15</v>
      </c>
      <c r="Y5" s="68"/>
      <c r="Z5" s="66">
        <v>10</v>
      </c>
      <c r="AA5" s="66"/>
      <c r="AB5" s="66"/>
      <c r="AC5" s="67"/>
      <c r="AD5" s="77">
        <v>176</v>
      </c>
      <c r="AE5" s="78"/>
      <c r="AF5" s="78"/>
      <c r="AG5" s="78"/>
      <c r="AH5" s="78"/>
      <c r="AI5" s="79"/>
    </row>
    <row r="6" spans="4:35" ht="20.100000000000001" customHeight="1" x14ac:dyDescent="0.15">
      <c r="D6" s="65"/>
      <c r="E6" s="65"/>
      <c r="F6" s="65"/>
      <c r="G6" s="65"/>
      <c r="H6" s="65"/>
      <c r="I6" s="65"/>
      <c r="J6" s="65"/>
      <c r="K6" s="65"/>
      <c r="L6" s="65"/>
      <c r="M6" s="65"/>
      <c r="N6" s="76"/>
      <c r="O6" s="76"/>
      <c r="P6" s="76"/>
      <c r="Q6" s="76"/>
      <c r="R6" s="76"/>
      <c r="S6" s="76"/>
      <c r="T6" s="62">
        <v>11</v>
      </c>
      <c r="U6" s="38"/>
      <c r="V6" s="38"/>
      <c r="W6" s="38"/>
      <c r="X6" s="39" t="s">
        <v>15</v>
      </c>
      <c r="Y6" s="39"/>
      <c r="Z6" s="38">
        <v>15</v>
      </c>
      <c r="AA6" s="38"/>
      <c r="AB6" s="38"/>
      <c r="AC6" s="63"/>
      <c r="AD6" s="60">
        <v>198</v>
      </c>
      <c r="AE6" s="40"/>
      <c r="AF6" s="40"/>
      <c r="AG6" s="40"/>
      <c r="AH6" s="40"/>
      <c r="AI6" s="61"/>
    </row>
    <row r="7" spans="4:35" ht="20.100000000000001" customHeight="1" x14ac:dyDescent="0.15">
      <c r="D7" s="65"/>
      <c r="E7" s="65"/>
      <c r="F7" s="65"/>
      <c r="G7" s="65"/>
      <c r="H7" s="65"/>
      <c r="I7" s="65"/>
      <c r="J7" s="65"/>
      <c r="K7" s="65"/>
      <c r="L7" s="65"/>
      <c r="M7" s="65"/>
      <c r="N7" s="76"/>
      <c r="O7" s="76"/>
      <c r="P7" s="76"/>
      <c r="Q7" s="76"/>
      <c r="R7" s="76"/>
      <c r="S7" s="76"/>
      <c r="T7" s="62">
        <v>16</v>
      </c>
      <c r="U7" s="38"/>
      <c r="V7" s="38"/>
      <c r="W7" s="38"/>
      <c r="X7" s="39" t="s">
        <v>15</v>
      </c>
      <c r="Y7" s="39"/>
      <c r="Z7" s="38">
        <v>20</v>
      </c>
      <c r="AA7" s="38"/>
      <c r="AB7" s="38"/>
      <c r="AC7" s="63"/>
      <c r="AD7" s="60">
        <v>220</v>
      </c>
      <c r="AE7" s="40"/>
      <c r="AF7" s="40"/>
      <c r="AG7" s="40"/>
      <c r="AH7" s="40"/>
      <c r="AI7" s="61"/>
    </row>
    <row r="8" spans="4:35" ht="20.100000000000001" customHeight="1" x14ac:dyDescent="0.15">
      <c r="D8" s="65"/>
      <c r="E8" s="65"/>
      <c r="F8" s="65"/>
      <c r="G8" s="65"/>
      <c r="H8" s="65"/>
      <c r="I8" s="65"/>
      <c r="J8" s="65"/>
      <c r="K8" s="65"/>
      <c r="L8" s="65"/>
      <c r="M8" s="65"/>
      <c r="N8" s="76"/>
      <c r="O8" s="76"/>
      <c r="P8" s="76"/>
      <c r="Q8" s="76"/>
      <c r="R8" s="76"/>
      <c r="S8" s="76"/>
      <c r="T8" s="62">
        <v>21</v>
      </c>
      <c r="U8" s="38"/>
      <c r="V8" s="38"/>
      <c r="W8" s="38"/>
      <c r="X8" s="39" t="s">
        <v>15</v>
      </c>
      <c r="Y8" s="39"/>
      <c r="Z8" s="38">
        <v>30</v>
      </c>
      <c r="AA8" s="38"/>
      <c r="AB8" s="38"/>
      <c r="AC8" s="63"/>
      <c r="AD8" s="60">
        <v>275</v>
      </c>
      <c r="AE8" s="40"/>
      <c r="AF8" s="40"/>
      <c r="AG8" s="40"/>
      <c r="AH8" s="40"/>
      <c r="AI8" s="61"/>
    </row>
    <row r="9" spans="4:35" ht="20.100000000000001" customHeight="1" x14ac:dyDescent="0.15">
      <c r="D9" s="65" t="s">
        <v>18</v>
      </c>
      <c r="E9" s="65"/>
      <c r="F9" s="65"/>
      <c r="G9" s="65"/>
      <c r="H9" s="65" t="s">
        <v>16</v>
      </c>
      <c r="I9" s="65"/>
      <c r="J9" s="65"/>
      <c r="K9" s="65"/>
      <c r="L9" s="65"/>
      <c r="M9" s="65"/>
      <c r="N9" s="76">
        <v>1760</v>
      </c>
      <c r="O9" s="76"/>
      <c r="P9" s="76"/>
      <c r="Q9" s="76"/>
      <c r="R9" s="76"/>
      <c r="S9" s="76"/>
      <c r="T9" s="62">
        <v>31</v>
      </c>
      <c r="U9" s="38"/>
      <c r="V9" s="38"/>
      <c r="W9" s="38"/>
      <c r="X9" s="39" t="s">
        <v>15</v>
      </c>
      <c r="Y9" s="39"/>
      <c r="Z9" s="38">
        <v>40</v>
      </c>
      <c r="AA9" s="38"/>
      <c r="AB9" s="38"/>
      <c r="AC9" s="63"/>
      <c r="AD9" s="60">
        <v>297</v>
      </c>
      <c r="AE9" s="40"/>
      <c r="AF9" s="40"/>
      <c r="AG9" s="40"/>
      <c r="AH9" s="40"/>
      <c r="AI9" s="61"/>
    </row>
    <row r="10" spans="4:35" ht="20.100000000000001" customHeight="1" x14ac:dyDescent="0.15"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76"/>
      <c r="O10" s="76"/>
      <c r="P10" s="76"/>
      <c r="Q10" s="76"/>
      <c r="R10" s="76"/>
      <c r="S10" s="76"/>
      <c r="T10" s="62">
        <v>41</v>
      </c>
      <c r="U10" s="38"/>
      <c r="V10" s="38"/>
      <c r="W10" s="38"/>
      <c r="X10" s="39" t="s">
        <v>15</v>
      </c>
      <c r="Y10" s="39"/>
      <c r="Z10" s="38">
        <v>50</v>
      </c>
      <c r="AA10" s="38"/>
      <c r="AB10" s="38"/>
      <c r="AC10" s="63"/>
      <c r="AD10" s="60">
        <v>352</v>
      </c>
      <c r="AE10" s="40"/>
      <c r="AF10" s="40"/>
      <c r="AG10" s="40"/>
      <c r="AH10" s="40"/>
      <c r="AI10" s="61"/>
    </row>
    <row r="11" spans="4:35" ht="20.100000000000001" customHeight="1" x14ac:dyDescent="0.15"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76"/>
      <c r="O11" s="76"/>
      <c r="P11" s="76"/>
      <c r="Q11" s="76"/>
      <c r="R11" s="76"/>
      <c r="S11" s="76"/>
      <c r="T11" s="62">
        <v>51</v>
      </c>
      <c r="U11" s="38"/>
      <c r="V11" s="38"/>
      <c r="W11" s="38"/>
      <c r="X11" s="39" t="s">
        <v>15</v>
      </c>
      <c r="Y11" s="39"/>
      <c r="Z11" s="38">
        <v>100</v>
      </c>
      <c r="AA11" s="38"/>
      <c r="AB11" s="38"/>
      <c r="AC11" s="63"/>
      <c r="AD11" s="60">
        <v>374</v>
      </c>
      <c r="AE11" s="40"/>
      <c r="AF11" s="40"/>
      <c r="AG11" s="40"/>
      <c r="AH11" s="40"/>
      <c r="AI11" s="61"/>
    </row>
    <row r="12" spans="4:35" ht="20.100000000000001" customHeight="1" x14ac:dyDescent="0.15"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76"/>
      <c r="O12" s="76"/>
      <c r="P12" s="76"/>
      <c r="Q12" s="76"/>
      <c r="R12" s="76"/>
      <c r="S12" s="76"/>
      <c r="T12" s="90">
        <v>101</v>
      </c>
      <c r="U12" s="91"/>
      <c r="V12" s="91"/>
      <c r="W12" s="91"/>
      <c r="X12" s="46" t="s">
        <v>15</v>
      </c>
      <c r="Y12" s="46"/>
      <c r="Z12" s="91"/>
      <c r="AA12" s="91"/>
      <c r="AB12" s="91"/>
      <c r="AC12" s="92"/>
      <c r="AD12" s="86">
        <v>407</v>
      </c>
      <c r="AE12" s="87"/>
      <c r="AF12" s="87"/>
      <c r="AG12" s="87"/>
      <c r="AH12" s="87"/>
      <c r="AI12" s="88"/>
    </row>
    <row r="13" spans="4:35" ht="20.100000000000001" customHeight="1" x14ac:dyDescent="0.15">
      <c r="D13" s="65" t="s">
        <v>19</v>
      </c>
      <c r="E13" s="65"/>
      <c r="F13" s="65"/>
      <c r="G13" s="65"/>
      <c r="H13" s="65" t="s">
        <v>20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9">
        <v>407</v>
      </c>
      <c r="AE13" s="89"/>
      <c r="AF13" s="89"/>
      <c r="AG13" s="89"/>
      <c r="AH13" s="89"/>
      <c r="AI13" s="89"/>
    </row>
    <row r="15" spans="4:35" ht="20.100000000000001" customHeight="1" x14ac:dyDescent="0.15">
      <c r="D15" s="65" t="s">
        <v>21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4:35" ht="20.100000000000001" customHeight="1" x14ac:dyDescent="0.15">
      <c r="D16" s="65" t="s">
        <v>22</v>
      </c>
      <c r="E16" s="65"/>
      <c r="F16" s="65"/>
      <c r="G16" s="65"/>
      <c r="H16" s="65"/>
      <c r="I16" s="65"/>
      <c r="J16" s="65" t="s">
        <v>25</v>
      </c>
      <c r="K16" s="65"/>
      <c r="L16" s="65"/>
      <c r="M16" s="65"/>
      <c r="N16" s="65"/>
      <c r="O16" s="65"/>
      <c r="P16" s="72" t="s">
        <v>22</v>
      </c>
      <c r="Q16" s="81"/>
      <c r="R16" s="81"/>
      <c r="S16" s="81"/>
      <c r="T16" s="81"/>
      <c r="U16" s="71"/>
      <c r="V16" s="65" t="s">
        <v>25</v>
      </c>
      <c r="W16" s="65"/>
      <c r="X16" s="65"/>
      <c r="Y16" s="65"/>
      <c r="Z16" s="65"/>
      <c r="AA16" s="65"/>
    </row>
    <row r="17" spans="4:27" ht="20.100000000000001" customHeight="1" x14ac:dyDescent="0.15">
      <c r="D17" s="65" t="s">
        <v>54</v>
      </c>
      <c r="E17" s="81"/>
      <c r="F17" s="81"/>
      <c r="G17" s="81"/>
      <c r="H17" s="81"/>
      <c r="I17" s="71"/>
      <c r="J17" s="74">
        <v>66</v>
      </c>
      <c r="K17" s="74"/>
      <c r="L17" s="74"/>
      <c r="M17" s="74"/>
      <c r="N17" s="74"/>
      <c r="O17" s="74"/>
      <c r="P17" s="65" t="s">
        <v>26</v>
      </c>
      <c r="Q17" s="65"/>
      <c r="R17" s="65"/>
      <c r="S17" s="65"/>
      <c r="T17" s="65"/>
      <c r="U17" s="65"/>
      <c r="V17" s="74">
        <v>660</v>
      </c>
      <c r="W17" s="74"/>
      <c r="X17" s="74"/>
      <c r="Y17" s="74"/>
      <c r="Z17" s="74"/>
      <c r="AA17" s="74"/>
    </row>
    <row r="18" spans="4:27" ht="20.100000000000001" customHeight="1" x14ac:dyDescent="0.15">
      <c r="D18" s="72" t="s">
        <v>23</v>
      </c>
      <c r="E18" s="81"/>
      <c r="F18" s="81"/>
      <c r="G18" s="81"/>
      <c r="H18" s="81"/>
      <c r="I18" s="71"/>
      <c r="J18" s="74">
        <v>99</v>
      </c>
      <c r="K18" s="74"/>
      <c r="L18" s="74"/>
      <c r="M18" s="74"/>
      <c r="N18" s="74"/>
      <c r="O18" s="74"/>
      <c r="P18" s="65" t="s">
        <v>27</v>
      </c>
      <c r="Q18" s="65"/>
      <c r="R18" s="65"/>
      <c r="S18" s="65"/>
      <c r="T18" s="65"/>
      <c r="U18" s="65"/>
      <c r="V18" s="74">
        <v>1155</v>
      </c>
      <c r="W18" s="74"/>
      <c r="X18" s="74"/>
      <c r="Y18" s="74"/>
      <c r="Z18" s="74"/>
      <c r="AA18" s="74"/>
    </row>
    <row r="19" spans="4:27" ht="20.100000000000001" customHeight="1" x14ac:dyDescent="0.15">
      <c r="D19" s="72" t="s">
        <v>24</v>
      </c>
      <c r="E19" s="81"/>
      <c r="F19" s="81"/>
      <c r="G19" s="81"/>
      <c r="H19" s="81"/>
      <c r="I19" s="71"/>
      <c r="J19" s="74">
        <v>198</v>
      </c>
      <c r="K19" s="74"/>
      <c r="L19" s="74"/>
      <c r="M19" s="74"/>
      <c r="N19" s="74"/>
      <c r="O19" s="74"/>
      <c r="P19" s="65" t="s">
        <v>28</v>
      </c>
      <c r="Q19" s="65"/>
      <c r="R19" s="65"/>
      <c r="S19" s="65"/>
      <c r="T19" s="65"/>
      <c r="U19" s="65"/>
      <c r="V19" s="74">
        <v>1650</v>
      </c>
      <c r="W19" s="74"/>
      <c r="X19" s="74"/>
      <c r="Y19" s="74"/>
      <c r="Z19" s="74"/>
      <c r="AA19" s="74"/>
    </row>
    <row r="22" spans="4:27" ht="20.100000000000001" customHeight="1" x14ac:dyDescent="0.15">
      <c r="D22" t="s">
        <v>30</v>
      </c>
    </row>
    <row r="23" spans="4:27" ht="20.100000000000001" customHeight="1" x14ac:dyDescent="0.15">
      <c r="D23" s="65"/>
      <c r="E23" s="65"/>
      <c r="F23" s="65"/>
      <c r="G23" s="65"/>
      <c r="H23" s="65"/>
      <c r="I23" s="65"/>
      <c r="J23" s="65"/>
      <c r="K23" s="72" t="s">
        <v>32</v>
      </c>
      <c r="L23" s="81"/>
      <c r="M23" s="81"/>
      <c r="N23" s="81"/>
      <c r="O23" s="81"/>
      <c r="P23" s="81"/>
      <c r="Q23" s="81"/>
      <c r="R23" s="81"/>
      <c r="S23" s="81"/>
      <c r="T23" s="71"/>
      <c r="U23" s="65" t="s">
        <v>12</v>
      </c>
      <c r="V23" s="65"/>
      <c r="W23" s="65"/>
      <c r="X23" s="65"/>
      <c r="Y23" s="65"/>
      <c r="Z23" s="65"/>
    </row>
    <row r="24" spans="4:27" ht="20.100000000000001" customHeight="1" x14ac:dyDescent="0.15">
      <c r="D24" s="65" t="s">
        <v>31</v>
      </c>
      <c r="E24" s="65"/>
      <c r="F24" s="65"/>
      <c r="G24" s="65"/>
      <c r="H24" s="65"/>
      <c r="I24" s="65"/>
      <c r="J24" s="65"/>
      <c r="K24" s="82"/>
      <c r="L24" s="83"/>
      <c r="M24" s="83"/>
      <c r="N24" s="83"/>
      <c r="O24" s="83"/>
      <c r="P24" s="83"/>
      <c r="Q24" s="83"/>
      <c r="R24" s="83"/>
      <c r="S24" s="83"/>
      <c r="T24" s="84"/>
      <c r="U24" s="74">
        <v>825</v>
      </c>
      <c r="V24" s="74"/>
      <c r="W24" s="74"/>
      <c r="X24" s="74"/>
      <c r="Y24" s="74"/>
      <c r="Z24" s="74"/>
    </row>
    <row r="25" spans="4:27" ht="20.100000000000001" customHeight="1" x14ac:dyDescent="0.15">
      <c r="D25" s="64" t="s">
        <v>33</v>
      </c>
      <c r="E25" s="65"/>
      <c r="F25" s="65"/>
      <c r="G25" s="65"/>
      <c r="H25" s="65"/>
      <c r="I25" s="65"/>
      <c r="J25" s="65"/>
      <c r="K25" s="69">
        <v>1</v>
      </c>
      <c r="L25" s="69"/>
      <c r="M25" s="69"/>
      <c r="N25" s="70"/>
      <c r="O25" s="71" t="s">
        <v>15</v>
      </c>
      <c r="P25" s="72"/>
      <c r="Q25" s="73">
        <v>10</v>
      </c>
      <c r="R25" s="69"/>
      <c r="S25" s="69"/>
      <c r="T25" s="69"/>
      <c r="U25" s="74">
        <v>55</v>
      </c>
      <c r="V25" s="74"/>
      <c r="W25" s="74"/>
      <c r="X25" s="74"/>
      <c r="Y25" s="74"/>
      <c r="Z25" s="74"/>
    </row>
    <row r="26" spans="4:27" ht="20.100000000000001" customHeight="1" x14ac:dyDescent="0.15">
      <c r="D26" s="65"/>
      <c r="E26" s="65"/>
      <c r="F26" s="65"/>
      <c r="G26" s="65"/>
      <c r="H26" s="65"/>
      <c r="I26" s="65"/>
      <c r="J26" s="65"/>
      <c r="K26" s="69">
        <v>11</v>
      </c>
      <c r="L26" s="69"/>
      <c r="M26" s="69"/>
      <c r="N26" s="70"/>
      <c r="O26" s="71" t="s">
        <v>15</v>
      </c>
      <c r="P26" s="72"/>
      <c r="Q26" s="73">
        <v>20</v>
      </c>
      <c r="R26" s="69"/>
      <c r="S26" s="69"/>
      <c r="T26" s="69"/>
      <c r="U26" s="74">
        <v>143</v>
      </c>
      <c r="V26" s="74"/>
      <c r="W26" s="74"/>
      <c r="X26" s="74"/>
      <c r="Y26" s="74"/>
      <c r="Z26" s="74"/>
    </row>
    <row r="27" spans="4:27" ht="20.100000000000001" customHeight="1" x14ac:dyDescent="0.15">
      <c r="D27" s="65"/>
      <c r="E27" s="65"/>
      <c r="F27" s="65"/>
      <c r="G27" s="65"/>
      <c r="H27" s="65"/>
      <c r="I27" s="65"/>
      <c r="J27" s="65"/>
      <c r="K27" s="69">
        <v>21</v>
      </c>
      <c r="L27" s="69"/>
      <c r="M27" s="69"/>
      <c r="N27" s="70"/>
      <c r="O27" s="71" t="s">
        <v>15</v>
      </c>
      <c r="P27" s="72"/>
      <c r="Q27" s="73">
        <v>30</v>
      </c>
      <c r="R27" s="69"/>
      <c r="S27" s="69"/>
      <c r="T27" s="69"/>
      <c r="U27" s="74">
        <v>176</v>
      </c>
      <c r="V27" s="74"/>
      <c r="W27" s="74"/>
      <c r="X27" s="74"/>
      <c r="Y27" s="74"/>
      <c r="Z27" s="74"/>
    </row>
    <row r="28" spans="4:27" ht="20.100000000000001" customHeight="1" x14ac:dyDescent="0.15">
      <c r="D28" s="65"/>
      <c r="E28" s="65"/>
      <c r="F28" s="65"/>
      <c r="G28" s="65"/>
      <c r="H28" s="65"/>
      <c r="I28" s="65"/>
      <c r="J28" s="65"/>
      <c r="K28" s="69">
        <v>31</v>
      </c>
      <c r="L28" s="69"/>
      <c r="M28" s="69"/>
      <c r="N28" s="70"/>
      <c r="O28" s="71" t="s">
        <v>15</v>
      </c>
      <c r="P28" s="72"/>
      <c r="Q28" s="73">
        <v>40</v>
      </c>
      <c r="R28" s="69"/>
      <c r="S28" s="69"/>
      <c r="T28" s="69"/>
      <c r="U28" s="74">
        <v>209</v>
      </c>
      <c r="V28" s="74"/>
      <c r="W28" s="74"/>
      <c r="X28" s="74"/>
      <c r="Y28" s="74"/>
      <c r="Z28" s="74"/>
    </row>
    <row r="29" spans="4:27" ht="20.100000000000001" customHeight="1" x14ac:dyDescent="0.15">
      <c r="D29" s="65"/>
      <c r="E29" s="65"/>
      <c r="F29" s="65"/>
      <c r="G29" s="65"/>
      <c r="H29" s="65"/>
      <c r="I29" s="65"/>
      <c r="J29" s="65"/>
      <c r="K29" s="69">
        <v>41</v>
      </c>
      <c r="L29" s="69"/>
      <c r="M29" s="69"/>
      <c r="N29" s="70"/>
      <c r="O29" s="71" t="s">
        <v>15</v>
      </c>
      <c r="P29" s="72"/>
      <c r="Q29" s="73">
        <v>50</v>
      </c>
      <c r="R29" s="69"/>
      <c r="S29" s="69"/>
      <c r="T29" s="69"/>
      <c r="U29" s="74">
        <v>242</v>
      </c>
      <c r="V29" s="74"/>
      <c r="W29" s="74"/>
      <c r="X29" s="74"/>
      <c r="Y29" s="74"/>
      <c r="Z29" s="74"/>
    </row>
    <row r="30" spans="4:27" ht="20.100000000000001" customHeight="1" x14ac:dyDescent="0.15">
      <c r="D30" s="65"/>
      <c r="E30" s="65"/>
      <c r="F30" s="65"/>
      <c r="G30" s="65"/>
      <c r="H30" s="65"/>
      <c r="I30" s="65"/>
      <c r="J30" s="65"/>
      <c r="K30" s="69">
        <v>51</v>
      </c>
      <c r="L30" s="69"/>
      <c r="M30" s="69"/>
      <c r="N30" s="70"/>
      <c r="O30" s="71" t="s">
        <v>15</v>
      </c>
      <c r="P30" s="72"/>
      <c r="Q30" s="73">
        <v>100</v>
      </c>
      <c r="R30" s="69"/>
      <c r="S30" s="69"/>
      <c r="T30" s="69"/>
      <c r="U30" s="74">
        <v>275</v>
      </c>
      <c r="V30" s="74"/>
      <c r="W30" s="74"/>
      <c r="X30" s="74"/>
      <c r="Y30" s="74"/>
      <c r="Z30" s="74"/>
    </row>
    <row r="31" spans="4:27" ht="20.100000000000001" customHeight="1" x14ac:dyDescent="0.15">
      <c r="D31" s="65"/>
      <c r="E31" s="65"/>
      <c r="F31" s="65"/>
      <c r="G31" s="65"/>
      <c r="H31" s="65"/>
      <c r="I31" s="65"/>
      <c r="J31" s="65"/>
      <c r="K31" s="69">
        <v>101</v>
      </c>
      <c r="L31" s="69"/>
      <c r="M31" s="69"/>
      <c r="N31" s="70"/>
      <c r="O31" s="71" t="s">
        <v>15</v>
      </c>
      <c r="P31" s="72"/>
      <c r="Q31" s="73">
        <v>500</v>
      </c>
      <c r="R31" s="69"/>
      <c r="S31" s="69"/>
      <c r="T31" s="69"/>
      <c r="U31" s="74">
        <v>308</v>
      </c>
      <c r="V31" s="74"/>
      <c r="W31" s="74"/>
      <c r="X31" s="74"/>
      <c r="Y31" s="74"/>
      <c r="Z31" s="74"/>
    </row>
    <row r="32" spans="4:27" ht="20.100000000000001" customHeight="1" x14ac:dyDescent="0.15">
      <c r="D32" s="65"/>
      <c r="E32" s="65"/>
      <c r="F32" s="65"/>
      <c r="G32" s="65"/>
      <c r="H32" s="65"/>
      <c r="I32" s="65"/>
      <c r="J32" s="65"/>
      <c r="K32" s="69">
        <v>501</v>
      </c>
      <c r="L32" s="69"/>
      <c r="M32" s="69"/>
      <c r="N32" s="70"/>
      <c r="O32" s="71" t="s">
        <v>15</v>
      </c>
      <c r="P32" s="72"/>
      <c r="Q32" s="73"/>
      <c r="R32" s="69"/>
      <c r="S32" s="69"/>
      <c r="T32" s="69"/>
      <c r="U32" s="74">
        <v>341</v>
      </c>
      <c r="V32" s="74"/>
      <c r="W32" s="74"/>
      <c r="X32" s="74"/>
      <c r="Y32" s="74"/>
      <c r="Z32" s="74"/>
    </row>
  </sheetData>
  <sheetProtection selectLockedCells="1"/>
  <mergeCells count="105">
    <mergeCell ref="AD12:AI12"/>
    <mergeCell ref="T11:W11"/>
    <mergeCell ref="X11:Y11"/>
    <mergeCell ref="Z11:AC11"/>
    <mergeCell ref="AD11:AI11"/>
    <mergeCell ref="Q25:T25"/>
    <mergeCell ref="Z10:AC10"/>
    <mergeCell ref="AD10:AI10"/>
    <mergeCell ref="AD13:AI13"/>
    <mergeCell ref="T12:W12"/>
    <mergeCell ref="X12:Y12"/>
    <mergeCell ref="Z12:AC12"/>
    <mergeCell ref="T10:W10"/>
    <mergeCell ref="X10:Y10"/>
    <mergeCell ref="K24:T24"/>
    <mergeCell ref="U26:Z26"/>
    <mergeCell ref="T13:AC13"/>
    <mergeCell ref="P16:U16"/>
    <mergeCell ref="P17:U17"/>
    <mergeCell ref="D15:AA15"/>
    <mergeCell ref="J19:O19"/>
    <mergeCell ref="D24:J24"/>
    <mergeCell ref="P18:U18"/>
    <mergeCell ref="V19:AA19"/>
    <mergeCell ref="P19:U19"/>
    <mergeCell ref="V16:AA16"/>
    <mergeCell ref="V17:AA17"/>
    <mergeCell ref="V18:AA18"/>
    <mergeCell ref="D23:J23"/>
    <mergeCell ref="K23:T23"/>
    <mergeCell ref="U23:Z23"/>
    <mergeCell ref="D18:I18"/>
    <mergeCell ref="U28:Z28"/>
    <mergeCell ref="U24:Z24"/>
    <mergeCell ref="U25:Z25"/>
    <mergeCell ref="K32:N32"/>
    <mergeCell ref="O32:P32"/>
    <mergeCell ref="Q32:T32"/>
    <mergeCell ref="U30:Z30"/>
    <mergeCell ref="U31:Z31"/>
    <mergeCell ref="U32:Z32"/>
    <mergeCell ref="K30:N30"/>
    <mergeCell ref="O30:P30"/>
    <mergeCell ref="Q30:T30"/>
    <mergeCell ref="K31:N31"/>
    <mergeCell ref="O31:P31"/>
    <mergeCell ref="Q31:T31"/>
    <mergeCell ref="K25:N25"/>
    <mergeCell ref="O25:P25"/>
    <mergeCell ref="Q27:T27"/>
    <mergeCell ref="U27:Z27"/>
    <mergeCell ref="K26:N26"/>
    <mergeCell ref="O26:P26"/>
    <mergeCell ref="Q26:T26"/>
    <mergeCell ref="K27:N27"/>
    <mergeCell ref="O27:P27"/>
    <mergeCell ref="D19:I19"/>
    <mergeCell ref="D16:I16"/>
    <mergeCell ref="D17:I17"/>
    <mergeCell ref="D3:G4"/>
    <mergeCell ref="D13:G13"/>
    <mergeCell ref="D5:G8"/>
    <mergeCell ref="D9:G12"/>
    <mergeCell ref="H4:M4"/>
    <mergeCell ref="N4:S4"/>
    <mergeCell ref="H3:S3"/>
    <mergeCell ref="H13:S13"/>
    <mergeCell ref="N9:S12"/>
    <mergeCell ref="J17:O17"/>
    <mergeCell ref="J16:O16"/>
    <mergeCell ref="J18:O18"/>
    <mergeCell ref="T3:AI3"/>
    <mergeCell ref="T4:AC4"/>
    <mergeCell ref="AD4:AI4"/>
    <mergeCell ref="H5:M8"/>
    <mergeCell ref="N5:S8"/>
    <mergeCell ref="X8:Y8"/>
    <mergeCell ref="AD5:AI5"/>
    <mergeCell ref="AD6:AI6"/>
    <mergeCell ref="AD8:AI8"/>
    <mergeCell ref="T5:W5"/>
    <mergeCell ref="AD9:AI9"/>
    <mergeCell ref="T7:W7"/>
    <mergeCell ref="X7:Y7"/>
    <mergeCell ref="Z7:AC7"/>
    <mergeCell ref="AD7:AI7"/>
    <mergeCell ref="T9:W9"/>
    <mergeCell ref="T8:W8"/>
    <mergeCell ref="D25:J32"/>
    <mergeCell ref="Z5:AC5"/>
    <mergeCell ref="Z6:AC6"/>
    <mergeCell ref="Z8:AC8"/>
    <mergeCell ref="X9:Y9"/>
    <mergeCell ref="Z9:AC9"/>
    <mergeCell ref="T6:W6"/>
    <mergeCell ref="X5:Y5"/>
    <mergeCell ref="X6:Y6"/>
    <mergeCell ref="H9:M12"/>
    <mergeCell ref="K28:N28"/>
    <mergeCell ref="O28:P28"/>
    <mergeCell ref="Q28:T28"/>
    <mergeCell ref="K29:N29"/>
    <mergeCell ref="O29:P29"/>
    <mergeCell ref="Q29:T29"/>
    <mergeCell ref="U29:Z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自動計算</vt:lpstr>
      <vt:lpstr>料金表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重松　孝弘</dc:creator>
  <cp:lastModifiedBy>重松　孝弘</cp:lastModifiedBy>
  <cp:lastPrinted>2023-01-19T08:07:11Z</cp:lastPrinted>
  <dcterms:created xsi:type="dcterms:W3CDTF">2023-01-19T08:09:03Z</dcterms:created>
  <dcterms:modified xsi:type="dcterms:W3CDTF">2023-01-20T00:13:53Z</dcterms:modified>
</cp:coreProperties>
</file>